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2012" sheetId="1" r:id="rId1"/>
  </sheets>
  <calcPr calcId="144525"/>
</workbook>
</file>

<file path=xl/calcChain.xml><?xml version="1.0" encoding="utf-8"?>
<calcChain xmlns="http://schemas.openxmlformats.org/spreadsheetml/2006/main">
  <c r="U107" i="1" l="1"/>
  <c r="V107" i="1" s="1"/>
  <c r="N107" i="1"/>
  <c r="J107" i="1"/>
  <c r="F107" i="1"/>
  <c r="U104" i="1"/>
  <c r="V104" i="1" s="1"/>
  <c r="N104" i="1"/>
  <c r="J104" i="1"/>
  <c r="F104" i="1"/>
  <c r="U101" i="1"/>
  <c r="V101" i="1" s="1"/>
  <c r="U100" i="1"/>
  <c r="V100" i="1" s="1"/>
  <c r="U98" i="1"/>
  <c r="V98" i="1" s="1"/>
  <c r="N98" i="1"/>
  <c r="J98" i="1"/>
  <c r="F98" i="1"/>
  <c r="U97" i="1"/>
  <c r="F97" i="1"/>
  <c r="U96" i="1"/>
  <c r="V96" i="1" s="1"/>
  <c r="F96" i="1"/>
  <c r="H95" i="1"/>
  <c r="U95" i="1" s="1"/>
  <c r="V95" i="1" s="1"/>
  <c r="F95" i="1"/>
  <c r="I94" i="1"/>
  <c r="U94" i="1" s="1"/>
  <c r="V94" i="1" s="1"/>
  <c r="F94" i="1"/>
  <c r="U93" i="1"/>
  <c r="V93" i="1" s="1"/>
  <c r="J93" i="1"/>
  <c r="F93" i="1"/>
  <c r="U92" i="1"/>
  <c r="V92" i="1" s="1"/>
  <c r="J92" i="1"/>
  <c r="F92" i="1"/>
  <c r="M91" i="1"/>
  <c r="U91" i="1" s="1"/>
  <c r="V91" i="1" s="1"/>
  <c r="K91" i="1"/>
  <c r="H91" i="1"/>
  <c r="G91" i="1"/>
  <c r="J91" i="1" s="1"/>
  <c r="F91" i="1"/>
  <c r="U90" i="1"/>
  <c r="V90" i="1" s="1"/>
  <c r="J90" i="1"/>
  <c r="F90" i="1"/>
  <c r="T89" i="1"/>
  <c r="S89" i="1"/>
  <c r="R89" i="1"/>
  <c r="Q89" i="1"/>
  <c r="P89" i="1"/>
  <c r="O89" i="1"/>
  <c r="U89" i="1" s="1"/>
  <c r="V89" i="1" s="1"/>
  <c r="M89" i="1"/>
  <c r="L89" i="1"/>
  <c r="K89" i="1"/>
  <c r="N89" i="1" s="1"/>
  <c r="I89" i="1"/>
  <c r="H89" i="1"/>
  <c r="G89" i="1"/>
  <c r="J89" i="1" s="1"/>
  <c r="F89" i="1"/>
  <c r="U88" i="1"/>
  <c r="V88" i="1" s="1"/>
  <c r="N88" i="1"/>
  <c r="J88" i="1"/>
  <c r="F88" i="1"/>
  <c r="U87" i="1"/>
  <c r="V87" i="1" s="1"/>
  <c r="N87" i="1"/>
  <c r="J87" i="1"/>
  <c r="F87" i="1"/>
  <c r="T86" i="1"/>
  <c r="S86" i="1"/>
  <c r="R86" i="1"/>
  <c r="Q86" i="1"/>
  <c r="P86" i="1"/>
  <c r="O86" i="1"/>
  <c r="U86" i="1" s="1"/>
  <c r="V86" i="1" s="1"/>
  <c r="M86" i="1"/>
  <c r="L86" i="1"/>
  <c r="K86" i="1"/>
  <c r="N86" i="1" s="1"/>
  <c r="I86" i="1"/>
  <c r="H86" i="1"/>
  <c r="G86" i="1"/>
  <c r="J86" i="1" s="1"/>
  <c r="F86" i="1"/>
  <c r="T85" i="1"/>
  <c r="S85" i="1"/>
  <c r="P85" i="1"/>
  <c r="O85" i="1"/>
  <c r="U85" i="1" s="1"/>
  <c r="V85" i="1" s="1"/>
  <c r="M85" i="1"/>
  <c r="L85" i="1"/>
  <c r="N85" i="1" s="1"/>
  <c r="H85" i="1"/>
  <c r="J85" i="1" s="1"/>
  <c r="F85" i="1"/>
  <c r="U84" i="1"/>
  <c r="V84" i="1" s="1"/>
  <c r="N84" i="1"/>
  <c r="J84" i="1"/>
  <c r="F84" i="1"/>
  <c r="U83" i="1"/>
  <c r="V83" i="1" s="1"/>
  <c r="N83" i="1"/>
  <c r="J83" i="1"/>
  <c r="F83" i="1"/>
  <c r="S82" i="1"/>
  <c r="U82" i="1" s="1"/>
  <c r="V82" i="1" s="1"/>
  <c r="N82" i="1"/>
  <c r="J82" i="1"/>
  <c r="F82" i="1"/>
  <c r="T81" i="1"/>
  <c r="S81" i="1"/>
  <c r="R81" i="1"/>
  <c r="Q81" i="1"/>
  <c r="P81" i="1"/>
  <c r="O81" i="1"/>
  <c r="U81" i="1" s="1"/>
  <c r="V81" i="1" s="1"/>
  <c r="K81" i="1"/>
  <c r="N81" i="1" s="1"/>
  <c r="H81" i="1"/>
  <c r="G81" i="1"/>
  <c r="J81" i="1" s="1"/>
  <c r="F81" i="1"/>
  <c r="K80" i="1"/>
  <c r="U80" i="1" s="1"/>
  <c r="V80" i="1" s="1"/>
  <c r="J80" i="1"/>
  <c r="F80" i="1"/>
  <c r="U79" i="1"/>
  <c r="V79" i="1" s="1"/>
  <c r="N79" i="1"/>
  <c r="J79" i="1"/>
  <c r="F79" i="1"/>
  <c r="T78" i="1"/>
  <c r="Q78" i="1"/>
  <c r="P78" i="1"/>
  <c r="O78" i="1"/>
  <c r="U78" i="1" s="1"/>
  <c r="V78" i="1" s="1"/>
  <c r="L78" i="1"/>
  <c r="K78" i="1"/>
  <c r="N78" i="1" s="1"/>
  <c r="I78" i="1"/>
  <c r="H78" i="1"/>
  <c r="J78" i="1" s="1"/>
  <c r="F78" i="1"/>
  <c r="T77" i="1"/>
  <c r="Q77" i="1"/>
  <c r="N77" i="1"/>
  <c r="H77" i="1"/>
  <c r="U77" i="1" s="1"/>
  <c r="V77" i="1" s="1"/>
  <c r="F77" i="1"/>
  <c r="T76" i="1"/>
  <c r="Q76" i="1"/>
  <c r="M76" i="1"/>
  <c r="U76" i="1" s="1"/>
  <c r="V76" i="1" s="1"/>
  <c r="I76" i="1"/>
  <c r="J76" i="1" s="1"/>
  <c r="F76" i="1"/>
  <c r="U75" i="1"/>
  <c r="V75" i="1" s="1"/>
  <c r="F75" i="1"/>
  <c r="T74" i="1"/>
  <c r="S74" i="1"/>
  <c r="R74" i="1"/>
  <c r="Q74" i="1"/>
  <c r="P74" i="1"/>
  <c r="O74" i="1"/>
  <c r="U74" i="1" s="1"/>
  <c r="V74" i="1" s="1"/>
  <c r="M74" i="1"/>
  <c r="F74" i="1"/>
  <c r="U73" i="1"/>
  <c r="V73" i="1" s="1"/>
  <c r="M72" i="1"/>
  <c r="U72" i="1" s="1"/>
  <c r="H72" i="1"/>
  <c r="J72" i="1" s="1"/>
  <c r="F72" i="1"/>
  <c r="T71" i="1"/>
  <c r="T105" i="1" s="1"/>
  <c r="T106" i="1" s="1"/>
  <c r="S71" i="1"/>
  <c r="R71" i="1"/>
  <c r="Q71" i="1"/>
  <c r="Q105" i="1" s="1"/>
  <c r="Q106" i="1" s="1"/>
  <c r="P71" i="1"/>
  <c r="P105" i="1" s="1"/>
  <c r="P106" i="1" s="1"/>
  <c r="O71" i="1"/>
  <c r="O105" i="1" s="1"/>
  <c r="M71" i="1"/>
  <c r="M105" i="1" s="1"/>
  <c r="M106" i="1" s="1"/>
  <c r="L71" i="1"/>
  <c r="K71" i="1"/>
  <c r="I71" i="1"/>
  <c r="I105" i="1" s="1"/>
  <c r="I106" i="1" s="1"/>
  <c r="F71" i="1"/>
  <c r="S70" i="1"/>
  <c r="S105" i="1" s="1"/>
  <c r="S106" i="1" s="1"/>
  <c r="R70" i="1"/>
  <c r="R105" i="1" s="1"/>
  <c r="R106" i="1" s="1"/>
  <c r="L70" i="1"/>
  <c r="L105" i="1" s="1"/>
  <c r="L106" i="1" s="1"/>
  <c r="K70" i="1"/>
  <c r="K105" i="1" s="1"/>
  <c r="K106" i="1" s="1"/>
  <c r="H70" i="1"/>
  <c r="H105" i="1" s="1"/>
  <c r="H106" i="1" s="1"/>
  <c r="G70" i="1"/>
  <c r="G105" i="1" s="1"/>
  <c r="F70" i="1"/>
  <c r="U69" i="1"/>
  <c r="V69" i="1" s="1"/>
  <c r="F69" i="1"/>
  <c r="U68" i="1"/>
  <c r="V68" i="1" s="1"/>
  <c r="T67" i="1"/>
  <c r="S67" i="1"/>
  <c r="R67" i="1"/>
  <c r="Q67" i="1"/>
  <c r="P67" i="1"/>
  <c r="O67" i="1"/>
  <c r="U67" i="1" s="1"/>
  <c r="V67" i="1" s="1"/>
  <c r="M67" i="1"/>
  <c r="L67" i="1"/>
  <c r="K67" i="1"/>
  <c r="I67" i="1"/>
  <c r="H67" i="1"/>
  <c r="G67" i="1"/>
  <c r="F67" i="1"/>
  <c r="U66" i="1"/>
  <c r="V66" i="1" s="1"/>
  <c r="N66" i="1"/>
  <c r="J66" i="1"/>
  <c r="F66" i="1"/>
  <c r="T65" i="1"/>
  <c r="S65" i="1"/>
  <c r="R65" i="1"/>
  <c r="Q65" i="1"/>
  <c r="P65" i="1"/>
  <c r="O65" i="1"/>
  <c r="U65" i="1" s="1"/>
  <c r="V65" i="1" s="1"/>
  <c r="M65" i="1"/>
  <c r="L65" i="1"/>
  <c r="K65" i="1"/>
  <c r="N65" i="1" s="1"/>
  <c r="I65" i="1"/>
  <c r="H65" i="1"/>
  <c r="G65" i="1"/>
  <c r="J65" i="1" s="1"/>
  <c r="F65" i="1"/>
  <c r="T63" i="1"/>
  <c r="S63" i="1"/>
  <c r="R63" i="1"/>
  <c r="Q63" i="1"/>
  <c r="P63" i="1"/>
  <c r="O63" i="1"/>
  <c r="U63" i="1" s="1"/>
  <c r="V63" i="1" s="1"/>
  <c r="M63" i="1"/>
  <c r="L63" i="1"/>
  <c r="K63" i="1"/>
  <c r="I63" i="1"/>
  <c r="H63" i="1"/>
  <c r="G63" i="1"/>
  <c r="F63" i="1"/>
  <c r="U61" i="1"/>
  <c r="V61" i="1" s="1"/>
  <c r="N61" i="1"/>
  <c r="J61" i="1"/>
  <c r="T60" i="1"/>
  <c r="S60" i="1"/>
  <c r="R60" i="1"/>
  <c r="Q60" i="1"/>
  <c r="P60" i="1"/>
  <c r="O60" i="1"/>
  <c r="U60" i="1" s="1"/>
  <c r="V60" i="1" s="1"/>
  <c r="K60" i="1"/>
  <c r="N60" i="1" s="1"/>
  <c r="I60" i="1"/>
  <c r="I108" i="1" s="1"/>
  <c r="I109" i="1" s="1"/>
  <c r="F60" i="1"/>
  <c r="U59" i="1"/>
  <c r="V59" i="1" s="1"/>
  <c r="N59" i="1"/>
  <c r="J59" i="1"/>
  <c r="F59" i="1"/>
  <c r="T58" i="1"/>
  <c r="S58" i="1"/>
  <c r="R58" i="1"/>
  <c r="Q58" i="1"/>
  <c r="P58" i="1"/>
  <c r="O58" i="1"/>
  <c r="U58" i="1" s="1"/>
  <c r="V58" i="1" s="1"/>
  <c r="M58" i="1"/>
  <c r="L58" i="1"/>
  <c r="K58" i="1"/>
  <c r="N58" i="1" s="1"/>
  <c r="N56" i="1" s="1"/>
  <c r="I58" i="1"/>
  <c r="H58" i="1"/>
  <c r="G58" i="1"/>
  <c r="J58" i="1" s="1"/>
  <c r="F58" i="1"/>
  <c r="T56" i="1"/>
  <c r="S56" i="1"/>
  <c r="R56" i="1"/>
  <c r="Q56" i="1"/>
  <c r="P56" i="1"/>
  <c r="O56" i="1"/>
  <c r="M56" i="1"/>
  <c r="L56" i="1"/>
  <c r="K56" i="1"/>
  <c r="I56" i="1"/>
  <c r="H56" i="1"/>
  <c r="G56" i="1"/>
  <c r="G99" i="1" s="1"/>
  <c r="F56" i="1"/>
  <c r="F99" i="1" s="1"/>
  <c r="H54" i="1"/>
  <c r="H99" i="1" s="1"/>
  <c r="I54" i="1" s="1"/>
  <c r="I99" i="1" s="1"/>
  <c r="U42" i="1"/>
  <c r="V42" i="1" s="1"/>
  <c r="N42" i="1"/>
  <c r="J42" i="1"/>
  <c r="F42" i="1"/>
  <c r="U41" i="1"/>
  <c r="F41" i="1"/>
  <c r="U40" i="1"/>
  <c r="V40" i="1" s="1"/>
  <c r="N40" i="1"/>
  <c r="F40" i="1"/>
  <c r="U39" i="1"/>
  <c r="V39" i="1" s="1"/>
  <c r="F39" i="1"/>
  <c r="U38" i="1"/>
  <c r="V38" i="1" s="1"/>
  <c r="F38" i="1"/>
  <c r="U37" i="1"/>
  <c r="V37" i="1" s="1"/>
  <c r="F37" i="1"/>
  <c r="U36" i="1"/>
  <c r="V36" i="1" s="1"/>
  <c r="F36" i="1"/>
  <c r="U35" i="1"/>
  <c r="V35" i="1" s="1"/>
  <c r="F35" i="1"/>
  <c r="U34" i="1"/>
  <c r="V34" i="1" s="1"/>
  <c r="N34" i="1"/>
  <c r="J34" i="1"/>
  <c r="F34" i="1"/>
  <c r="U33" i="1"/>
  <c r="V33" i="1" s="1"/>
  <c r="N33" i="1"/>
  <c r="J33" i="1"/>
  <c r="F33" i="1"/>
  <c r="U32" i="1"/>
  <c r="V32" i="1" s="1"/>
  <c r="N32" i="1"/>
  <c r="J32" i="1"/>
  <c r="F32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U30" i="1"/>
  <c r="V30" i="1" s="1"/>
  <c r="N30" i="1"/>
  <c r="J30" i="1"/>
  <c r="F30" i="1"/>
  <c r="U29" i="1"/>
  <c r="V29" i="1" s="1"/>
  <c r="N29" i="1"/>
  <c r="J29" i="1"/>
  <c r="F29" i="1"/>
  <c r="U28" i="1"/>
  <c r="V28" i="1" s="1"/>
  <c r="F28" i="1"/>
  <c r="Q27" i="1"/>
  <c r="U27" i="1" s="1"/>
  <c r="V27" i="1" s="1"/>
  <c r="F27" i="1"/>
  <c r="P26" i="1"/>
  <c r="U26" i="1" s="1"/>
  <c r="V26" i="1" s="1"/>
  <c r="N26" i="1"/>
  <c r="J26" i="1"/>
  <c r="F26" i="1"/>
  <c r="U25" i="1"/>
  <c r="V25" i="1" s="1"/>
  <c r="N25" i="1"/>
  <c r="J25" i="1"/>
  <c r="F25" i="1"/>
  <c r="S24" i="1"/>
  <c r="Q24" i="1"/>
  <c r="P24" i="1"/>
  <c r="N24" i="1"/>
  <c r="I24" i="1"/>
  <c r="U24" i="1" s="1"/>
  <c r="V24" i="1" s="1"/>
  <c r="H24" i="1"/>
  <c r="J24" i="1" s="1"/>
  <c r="F24" i="1"/>
  <c r="U23" i="1"/>
  <c r="V23" i="1" s="1"/>
  <c r="F23" i="1"/>
  <c r="O22" i="1"/>
  <c r="U22" i="1" s="1"/>
  <c r="V22" i="1" s="1"/>
  <c r="L22" i="1"/>
  <c r="N22" i="1" s="1"/>
  <c r="N20" i="1" s="1"/>
  <c r="H22" i="1"/>
  <c r="J22" i="1" s="1"/>
  <c r="J20" i="1" s="1"/>
  <c r="F22" i="1"/>
  <c r="U21" i="1"/>
  <c r="V21" i="1" s="1"/>
  <c r="T20" i="1"/>
  <c r="S20" i="1"/>
  <c r="R20" i="1"/>
  <c r="Q20" i="1"/>
  <c r="P20" i="1"/>
  <c r="O20" i="1"/>
  <c r="M20" i="1"/>
  <c r="L20" i="1"/>
  <c r="K20" i="1"/>
  <c r="I20" i="1"/>
  <c r="H20" i="1"/>
  <c r="G20" i="1"/>
  <c r="F20" i="1"/>
  <c r="U19" i="1"/>
  <c r="V19" i="1" s="1"/>
  <c r="N19" i="1"/>
  <c r="J19" i="1"/>
  <c r="F19" i="1"/>
  <c r="U18" i="1"/>
  <c r="N18" i="1"/>
  <c r="J18" i="1"/>
  <c r="F18" i="1"/>
  <c r="U17" i="1"/>
  <c r="V17" i="1" s="1"/>
  <c r="N17" i="1"/>
  <c r="J17" i="1"/>
  <c r="F17" i="1"/>
  <c r="U16" i="1"/>
  <c r="V16" i="1" s="1"/>
  <c r="N16" i="1"/>
  <c r="J16" i="1"/>
  <c r="F16" i="1"/>
  <c r="U15" i="1"/>
  <c r="V15" i="1" s="1"/>
  <c r="N15" i="1"/>
  <c r="J15" i="1"/>
  <c r="F15" i="1"/>
  <c r="U14" i="1"/>
  <c r="V14" i="1" s="1"/>
  <c r="N14" i="1"/>
  <c r="J14" i="1"/>
  <c r="F14" i="1"/>
  <c r="T13" i="1"/>
  <c r="T108" i="1" s="1"/>
  <c r="T109" i="1" s="1"/>
  <c r="S13" i="1"/>
  <c r="S108" i="1" s="1"/>
  <c r="S109" i="1" s="1"/>
  <c r="R13" i="1"/>
  <c r="R108" i="1" s="1"/>
  <c r="R109" i="1" s="1"/>
  <c r="Q13" i="1"/>
  <c r="Q108" i="1" s="1"/>
  <c r="Q109" i="1" s="1"/>
  <c r="P13" i="1"/>
  <c r="P108" i="1" s="1"/>
  <c r="P109" i="1" s="1"/>
  <c r="O13" i="1"/>
  <c r="O108" i="1" s="1"/>
  <c r="M13" i="1"/>
  <c r="M108" i="1" s="1"/>
  <c r="M109" i="1" s="1"/>
  <c r="L13" i="1"/>
  <c r="L108" i="1" s="1"/>
  <c r="L109" i="1" s="1"/>
  <c r="K13" i="1"/>
  <c r="K108" i="1" s="1"/>
  <c r="H13" i="1"/>
  <c r="H108" i="1" s="1"/>
  <c r="H109" i="1" s="1"/>
  <c r="G13" i="1"/>
  <c r="G108" i="1" s="1"/>
  <c r="F13" i="1"/>
  <c r="T11" i="1"/>
  <c r="S11" i="1"/>
  <c r="R11" i="1"/>
  <c r="Q11" i="1"/>
  <c r="P11" i="1"/>
  <c r="O11" i="1"/>
  <c r="M11" i="1"/>
  <c r="L11" i="1"/>
  <c r="K11" i="1"/>
  <c r="I11" i="1"/>
  <c r="H11" i="1"/>
  <c r="G11" i="1"/>
  <c r="G43" i="1" s="1"/>
  <c r="F11" i="1"/>
  <c r="F43" i="1" s="1"/>
  <c r="H9" i="1"/>
  <c r="H43" i="1" s="1"/>
  <c r="I9" i="1" s="1"/>
  <c r="I43" i="1" s="1"/>
  <c r="U20" i="1" l="1"/>
  <c r="V20" i="1" s="1"/>
  <c r="U31" i="1"/>
  <c r="V31" i="1" s="1"/>
  <c r="V41" i="1"/>
  <c r="U11" i="1"/>
  <c r="V11" i="1" s="1"/>
  <c r="V18" i="1"/>
  <c r="K9" i="1"/>
  <c r="K43" i="1" s="1"/>
  <c r="L9" i="1" s="1"/>
  <c r="L43" i="1" s="1"/>
  <c r="M9" i="1" s="1"/>
  <c r="M43" i="1" s="1"/>
  <c r="O9" i="1" s="1"/>
  <c r="O43" i="1" s="1"/>
  <c r="P9" i="1" s="1"/>
  <c r="P43" i="1" s="1"/>
  <c r="Q9" i="1" s="1"/>
  <c r="Q43" i="1" s="1"/>
  <c r="R9" i="1" s="1"/>
  <c r="R43" i="1" s="1"/>
  <c r="S9" i="1" s="1"/>
  <c r="S43" i="1" s="1"/>
  <c r="T9" i="1" s="1"/>
  <c r="T43" i="1" s="1"/>
  <c r="J9" i="1"/>
  <c r="K54" i="1"/>
  <c r="J54" i="1"/>
  <c r="W72" i="1"/>
  <c r="V72" i="1"/>
  <c r="G109" i="1"/>
  <c r="J108" i="1"/>
  <c r="J109" i="1" s="1"/>
  <c r="F108" i="1"/>
  <c r="F109" i="1" s="1"/>
  <c r="J13" i="1"/>
  <c r="J11" i="1" s="1"/>
  <c r="K109" i="1"/>
  <c r="N108" i="1"/>
  <c r="N109" i="1" s="1"/>
  <c r="N13" i="1"/>
  <c r="N11" i="1" s="1"/>
  <c r="N43" i="1" s="1"/>
  <c r="O109" i="1"/>
  <c r="U108" i="1"/>
  <c r="V108" i="1" s="1"/>
  <c r="U13" i="1"/>
  <c r="V13" i="1" s="1"/>
  <c r="J60" i="1"/>
  <c r="J56" i="1" s="1"/>
  <c r="G106" i="1"/>
  <c r="F105" i="1"/>
  <c r="F106" i="1" s="1"/>
  <c r="J70" i="1"/>
  <c r="N70" i="1"/>
  <c r="U70" i="1"/>
  <c r="V70" i="1" s="1"/>
  <c r="O106" i="1"/>
  <c r="U105" i="1"/>
  <c r="V105" i="1" s="1"/>
  <c r="U71" i="1"/>
  <c r="V71" i="1" s="1"/>
  <c r="N72" i="1"/>
  <c r="N76" i="1"/>
  <c r="J77" i="1"/>
  <c r="N80" i="1"/>
  <c r="J95" i="1"/>
  <c r="V97" i="1"/>
  <c r="N105" i="1" l="1"/>
  <c r="N106" i="1" s="1"/>
  <c r="N67" i="1"/>
  <c r="N63" i="1" s="1"/>
  <c r="J105" i="1"/>
  <c r="J106" i="1" s="1"/>
  <c r="J67" i="1"/>
  <c r="J63" i="1" s="1"/>
  <c r="J99" i="1"/>
  <c r="K99" i="1"/>
  <c r="L54" i="1" s="1"/>
  <c r="L99" i="1" s="1"/>
  <c r="M54" i="1" s="1"/>
  <c r="M99" i="1" s="1"/>
  <c r="O54" i="1" s="1"/>
  <c r="O99" i="1" s="1"/>
  <c r="P54" i="1" s="1"/>
  <c r="P99" i="1" s="1"/>
  <c r="Q54" i="1" s="1"/>
  <c r="Q99" i="1" s="1"/>
  <c r="R54" i="1" s="1"/>
  <c r="R99" i="1" s="1"/>
  <c r="S54" i="1" s="1"/>
  <c r="S99" i="1" s="1"/>
  <c r="T54" i="1" s="1"/>
  <c r="T99" i="1" s="1"/>
  <c r="N54" i="1"/>
  <c r="N99" i="1" s="1"/>
  <c r="J43" i="1"/>
</calcChain>
</file>

<file path=xl/sharedStrings.xml><?xml version="1.0" encoding="utf-8"?>
<sst xmlns="http://schemas.openxmlformats.org/spreadsheetml/2006/main" count="241" uniqueCount="117">
  <si>
    <t>АНАЛИЗ</t>
  </si>
  <si>
    <t xml:space="preserve">использования платежей населения для расчетов с поставщиками услуг  </t>
  </si>
  <si>
    <t>на содержание жилфонда  ТСЖ "Багульник"в 2012 г..</t>
  </si>
  <si>
    <t xml:space="preserve"> №№</t>
  </si>
  <si>
    <t xml:space="preserve">Ед. </t>
  </si>
  <si>
    <t>2012 г, в т.ч.</t>
  </si>
  <si>
    <t>ПП</t>
  </si>
  <si>
    <t>Источник доходов (расходов)</t>
  </si>
  <si>
    <t>изм</t>
  </si>
  <si>
    <t>ВСЕГО:</t>
  </si>
  <si>
    <t>январь</t>
  </si>
  <si>
    <t>февраль</t>
  </si>
  <si>
    <t>март</t>
  </si>
  <si>
    <t>1 квартал</t>
  </si>
  <si>
    <t>апрель</t>
  </si>
  <si>
    <t>май</t>
  </si>
  <si>
    <t>июнь</t>
  </si>
  <si>
    <t>2 квартал</t>
  </si>
  <si>
    <t>июль</t>
  </si>
  <si>
    <t>август</t>
  </si>
  <si>
    <t>сентябрь</t>
  </si>
  <si>
    <t>октябрь</t>
  </si>
  <si>
    <t>ноябрь</t>
  </si>
  <si>
    <t>декабрь</t>
  </si>
  <si>
    <t>КАССА</t>
  </si>
  <si>
    <t>Наличие денежных средств на начало месяца</t>
  </si>
  <si>
    <t>руб.</t>
  </si>
  <si>
    <t>1.</t>
  </si>
  <si>
    <t>Поступление денежных средств, всего</t>
  </si>
  <si>
    <t>в том числе</t>
  </si>
  <si>
    <t xml:space="preserve"> - платежи населения за жилищно-коммунальные услуги</t>
  </si>
  <si>
    <t xml:space="preserve"> - платежи населения на капитальный ремонт инженерных сетей на основании ФЗ-185</t>
  </si>
  <si>
    <t xml:space="preserve"> - оказание платных услуг населения</t>
  </si>
  <si>
    <t xml:space="preserve"> - аренда офиса</t>
  </si>
  <si>
    <t xml:space="preserve"> - возврат подотчетной суммы</t>
  </si>
  <si>
    <t xml:space="preserve"> - прочие</t>
  </si>
  <si>
    <t xml:space="preserve"> - возврат заемных средств</t>
  </si>
  <si>
    <t>2.</t>
  </si>
  <si>
    <t>Расход денежных средств, всего</t>
  </si>
  <si>
    <t xml:space="preserve"> - заработная плата</t>
  </si>
  <si>
    <t xml:space="preserve"> - больничный лист</t>
  </si>
  <si>
    <t xml:space="preserve"> - хозрасходы по содержанию жилфонда</t>
  </si>
  <si>
    <t xml:space="preserve"> - аренда транспорта</t>
  </si>
  <si>
    <t xml:space="preserve"> - телефон</t>
  </si>
  <si>
    <t xml:space="preserve"> - ГСМ</t>
  </si>
  <si>
    <t xml:space="preserve"> -возврат ден.средств</t>
  </si>
  <si>
    <t xml:space="preserve"> - сдано на расчетный счет в банке</t>
  </si>
  <si>
    <t xml:space="preserve"> - расчеты с поставщиками услуг</t>
  </si>
  <si>
    <t xml:space="preserve">   в том числе</t>
  </si>
  <si>
    <t xml:space="preserve">   МУП "Тепловые сети"</t>
  </si>
  <si>
    <t xml:space="preserve">   Ингосстраз (страховка лифтов)</t>
  </si>
  <si>
    <t xml:space="preserve">   Установка видеокамеры</t>
  </si>
  <si>
    <t xml:space="preserve">   Енисейлес</t>
  </si>
  <si>
    <t xml:space="preserve">  ООО" Грандмрамор"(ремонт офиса)</t>
  </si>
  <si>
    <t xml:space="preserve">   Промывка домов</t>
  </si>
  <si>
    <t xml:space="preserve">   ИП Потехин Р.П.</t>
  </si>
  <si>
    <t xml:space="preserve">   МУП "Енисейводоканал"</t>
  </si>
  <si>
    <t xml:space="preserve">   прочие</t>
  </si>
  <si>
    <t xml:space="preserve">   госпошлина</t>
  </si>
  <si>
    <t>Наличие денежных средств на конец месяца</t>
  </si>
  <si>
    <t>Председатель Правления ТСЖ</t>
  </si>
  <si>
    <t>А.В.Бидзюра</t>
  </si>
  <si>
    <t>Бидзюра А.В.</t>
  </si>
  <si>
    <t>БАНК</t>
  </si>
  <si>
    <t xml:space="preserve"> -поступление коммунальных платежей от населения  из кассы</t>
  </si>
  <si>
    <t xml:space="preserve"> -платежи за коммунальные услуги</t>
  </si>
  <si>
    <t>прочие поступления</t>
  </si>
  <si>
    <t>возмещение соцстраха</t>
  </si>
  <si>
    <t xml:space="preserve"> - оплата налогов от ФОТ</t>
  </si>
  <si>
    <t xml:space="preserve"> - услуги банка по тарифам</t>
  </si>
  <si>
    <t xml:space="preserve"> - расчеты с поставщика услуг, всего</t>
  </si>
  <si>
    <t>из них</t>
  </si>
  <si>
    <t>ООО "Тора" (приобретение труб )</t>
  </si>
  <si>
    <t>МУП "Тепловые сети"</t>
  </si>
  <si>
    <t>Расчетно-кассовый центр (тепло)</t>
  </si>
  <si>
    <t>МУП "Енисейводоканал"</t>
  </si>
  <si>
    <t>Расчетно-кассовый центр</t>
  </si>
  <si>
    <t>- ХВС</t>
  </si>
  <si>
    <t>- водоотведение</t>
  </si>
  <si>
    <t>НО "СФССЭБН" (дератизация)</t>
  </si>
  <si>
    <t>Инфоцентр (сопров. Программы)</t>
  </si>
  <si>
    <t>Саянская лифтовая компания</t>
  </si>
  <si>
    <t>Инжсервис (диагностика лифтов)</t>
  </si>
  <si>
    <t>Ингострах (страховка лифтов)</t>
  </si>
  <si>
    <t>ОАО "Хакасэнергосбыт"</t>
  </si>
  <si>
    <t>Уплата госпошлины</t>
  </si>
  <si>
    <t>Семь координат ( преобраз.расхода)</t>
  </si>
  <si>
    <t>Промбезопасность (обучение, лифты)</t>
  </si>
  <si>
    <t>ООО "УК ЖЭО-2"</t>
  </si>
  <si>
    <t>ООО "Чистый  город"</t>
  </si>
  <si>
    <t>Перадзе Н.Г., светильники</t>
  </si>
  <si>
    <t>Светоч</t>
  </si>
  <si>
    <t>ООО "Полигон" (захоронение ТБО)</t>
  </si>
  <si>
    <t>Божечкова Н.Н. (дверь метал.)</t>
  </si>
  <si>
    <t>Эврика ( обучение, переподготовка )</t>
  </si>
  <si>
    <t>Лавренев 1С</t>
  </si>
  <si>
    <t>ООО "Тора" (програмное обеспеч )</t>
  </si>
  <si>
    <t>МЦФР ( подписка на журнал )</t>
  </si>
  <si>
    <t>Медосмотр</t>
  </si>
  <si>
    <t>Байкалэнерго, приемка приборов</t>
  </si>
  <si>
    <t>НОУ ОЦ "Фюзис"</t>
  </si>
  <si>
    <t xml:space="preserve"> - платежи населения на капитальный ремонт на основание ФЗ-185 (спецсчет)</t>
  </si>
  <si>
    <t>СПРАВОЧНО:</t>
  </si>
  <si>
    <t>Плановые платежи МУП "Тепловые сети по соглашению к договору</t>
  </si>
  <si>
    <t>Фактическая оплата</t>
  </si>
  <si>
    <t>3.</t>
  </si>
  <si>
    <t>%% выполнения плана</t>
  </si>
  <si>
    <t>%</t>
  </si>
  <si>
    <t>4.</t>
  </si>
  <si>
    <t>Начислено ж/коммунальных услуг за предыдущий период</t>
  </si>
  <si>
    <t>5.</t>
  </si>
  <si>
    <t>Оплачено ж/коммунальных услуг</t>
  </si>
  <si>
    <t>6.</t>
  </si>
  <si>
    <t xml:space="preserve"> %% оплаты</t>
  </si>
  <si>
    <t>Комаристова О.В.</t>
  </si>
  <si>
    <t>Исп. Комаристова О.В.</t>
  </si>
  <si>
    <t xml:space="preserve">ООО"СИБЦМА"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</si>
</sst>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#,##0.00_р_."/>
    <numFmt numFmtId="165" formatCode="#,##0.0_р_."/>
    <numFmt numFmtId="166" formatCode="0.0"/>
  </numFmts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/>
    <xf numFmtId="0" fontId="3" fillId="2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164" fontId="3" fillId="0" borderId="18" xfId="0" applyNumberFormat="1" applyFont="1" applyBorder="1" applyAlignment="1"/>
    <xf numFmtId="0" fontId="2" fillId="0" borderId="18" xfId="0" applyFont="1" applyBorder="1" applyAlignment="1"/>
    <xf numFmtId="2" fontId="3" fillId="0" borderId="18" xfId="0" applyNumberFormat="1" applyFont="1" applyBorder="1" applyAlignment="1"/>
    <xf numFmtId="164" fontId="3" fillId="0" borderId="17" xfId="0" applyNumberFormat="1" applyFont="1" applyBorder="1" applyAlignment="1"/>
    <xf numFmtId="2" fontId="3" fillId="0" borderId="17" xfId="0" applyNumberFormat="1" applyFont="1" applyBorder="1" applyAlignment="1"/>
    <xf numFmtId="0" fontId="3" fillId="0" borderId="18" xfId="0" applyFont="1" applyBorder="1" applyAlignment="1"/>
    <xf numFmtId="0" fontId="2" fillId="0" borderId="18" xfId="0" applyFont="1" applyBorder="1" applyAlignment="1">
      <alignment horizontal="center"/>
    </xf>
    <xf numFmtId="164" fontId="2" fillId="0" borderId="18" xfId="0" applyNumberFormat="1" applyFont="1" applyBorder="1" applyAlignment="1"/>
    <xf numFmtId="2" fontId="3" fillId="0" borderId="0" xfId="0" applyNumberFormat="1" applyFont="1"/>
    <xf numFmtId="0" fontId="2" fillId="0" borderId="0" xfId="0" applyFont="1"/>
    <xf numFmtId="2" fontId="3" fillId="0" borderId="18" xfId="0" applyNumberFormat="1" applyFont="1" applyBorder="1" applyAlignment="1">
      <alignment horizontal="center"/>
    </xf>
    <xf numFmtId="165" fontId="3" fillId="0" borderId="18" xfId="0" applyNumberFormat="1" applyFont="1" applyBorder="1" applyAlignment="1"/>
    <xf numFmtId="164" fontId="3" fillId="0" borderId="18" xfId="0" applyNumberFormat="1" applyFont="1" applyFill="1" applyBorder="1" applyAlignment="1"/>
    <xf numFmtId="0" fontId="3" fillId="3" borderId="18" xfId="0" applyFont="1" applyFill="1" applyBorder="1" applyAlignment="1">
      <alignment horizontal="center"/>
    </xf>
    <xf numFmtId="164" fontId="3" fillId="3" borderId="18" xfId="0" applyNumberFormat="1" applyFont="1" applyFill="1" applyBorder="1" applyAlignment="1"/>
    <xf numFmtId="2" fontId="3" fillId="3" borderId="18" xfId="0" applyNumberFormat="1" applyFont="1" applyFill="1" applyBorder="1" applyAlignment="1"/>
    <xf numFmtId="0" fontId="3" fillId="3" borderId="0" xfId="0" applyFont="1" applyFill="1"/>
    <xf numFmtId="0" fontId="3" fillId="0" borderId="0" xfId="0" applyFont="1" applyFill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11" xfId="0" applyFont="1" applyFill="1" applyBorder="1"/>
    <xf numFmtId="0" fontId="3" fillId="2" borderId="15" xfId="0" applyFont="1" applyFill="1" applyBorder="1"/>
    <xf numFmtId="0" fontId="3" fillId="0" borderId="18" xfId="0" applyFont="1" applyBorder="1" applyAlignment="1">
      <alignment horizontal="right"/>
    </xf>
    <xf numFmtId="2" fontId="3" fillId="0" borderId="23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right"/>
    </xf>
    <xf numFmtId="2" fontId="3" fillId="0" borderId="18" xfId="0" applyNumberFormat="1" applyFont="1" applyBorder="1" applyAlignment="1">
      <alignment horizontal="right"/>
    </xf>
    <xf numFmtId="164" fontId="2" fillId="0" borderId="19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3" fillId="0" borderId="18" xfId="0" applyNumberFormat="1" applyFont="1" applyFill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165" fontId="3" fillId="0" borderId="19" xfId="0" applyNumberFormat="1" applyFont="1" applyBorder="1" applyAlignment="1">
      <alignment horizontal="right"/>
    </xf>
    <xf numFmtId="166" fontId="3" fillId="0" borderId="18" xfId="0" applyNumberFormat="1" applyFont="1" applyBorder="1" applyAlignment="1">
      <alignment horizontal="right"/>
    </xf>
    <xf numFmtId="165" fontId="3" fillId="0" borderId="18" xfId="0" applyNumberFormat="1" applyFont="1" applyBorder="1" applyAlignment="1">
      <alignment horizontal="right"/>
    </xf>
    <xf numFmtId="0" fontId="3" fillId="0" borderId="18" xfId="0" applyFont="1" applyFill="1" applyBorder="1" applyAlignment="1">
      <alignment horizontal="center"/>
    </xf>
    <xf numFmtId="164" fontId="3" fillId="0" borderId="0" xfId="0" applyNumberFormat="1" applyFont="1" applyBorder="1"/>
    <xf numFmtId="164" fontId="3" fillId="0" borderId="0" xfId="0" applyNumberFormat="1" applyFont="1"/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left" wrapText="1"/>
    </xf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 wrapText="1"/>
    </xf>
    <xf numFmtId="0" fontId="3" fillId="0" borderId="20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49" fontId="3" fillId="0" borderId="18" xfId="0" applyNumberFormat="1" applyFont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3" fillId="3" borderId="19" xfId="0" applyFont="1" applyFill="1" applyBorder="1" applyAlignment="1">
      <alignment horizontal="left" wrapText="1"/>
    </xf>
    <xf numFmtId="0" fontId="3" fillId="3" borderId="20" xfId="0" applyFont="1" applyFill="1" applyBorder="1" applyAlignment="1">
      <alignment horizontal="left" wrapText="1"/>
    </xf>
    <xf numFmtId="0" fontId="3" fillId="3" borderId="21" xfId="0" applyFont="1" applyFill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horizontal="left" vertical="center" wrapText="1"/>
    </xf>
    <xf numFmtId="49" fontId="3" fillId="0" borderId="21" xfId="0" applyNumberFormat="1" applyFont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164" fontId="3" fillId="0" borderId="18" xfId="0" applyNumberFormat="1" applyFont="1" applyBorder="1" applyAlignment="1">
      <alignment horizontal="left" wrapText="1"/>
    </xf>
    <xf numFmtId="164" fontId="3" fillId="0" borderId="18" xfId="0" applyNumberFormat="1" applyFont="1" applyFill="1" applyBorder="1" applyAlignment="1">
      <alignment horizontal="left" wrapText="1"/>
    </xf>
    <xf numFmtId="0" fontId="3" fillId="0" borderId="18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44" fontId="3" fillId="0" borderId="19" xfId="1" applyFont="1" applyBorder="1" applyAlignment="1">
      <alignment horizontal="left"/>
    </xf>
    <xf numFmtId="44" fontId="3" fillId="0" borderId="20" xfId="1" applyFont="1" applyBorder="1" applyAlignment="1">
      <alignment horizontal="left"/>
    </xf>
    <xf numFmtId="44" fontId="3" fillId="0" borderId="21" xfId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5"/>
  <sheetViews>
    <sheetView tabSelected="1" workbookViewId="0">
      <selection sqref="A1:T1"/>
    </sheetView>
  </sheetViews>
  <sheetFormatPr defaultRowHeight="12.75" x14ac:dyDescent="0.2"/>
  <cols>
    <col min="1" max="1" width="5.42578125" style="2" customWidth="1"/>
    <col min="2" max="3" width="9.140625" style="1"/>
    <col min="4" max="4" width="14.85546875" style="1" customWidth="1"/>
    <col min="5" max="5" width="7.5703125" style="2" customWidth="1"/>
    <col min="6" max="6" width="14.85546875" style="1" customWidth="1"/>
    <col min="7" max="7" width="13.140625" style="1" customWidth="1"/>
    <col min="8" max="8" width="13.5703125" style="1" customWidth="1"/>
    <col min="9" max="9" width="13.140625" style="1" customWidth="1"/>
    <col min="10" max="10" width="14.85546875" style="1" hidden="1" customWidth="1"/>
    <col min="11" max="11" width="14.7109375" style="1" customWidth="1"/>
    <col min="12" max="12" width="14" style="1" customWidth="1"/>
    <col min="13" max="13" width="15.85546875" style="1" customWidth="1"/>
    <col min="14" max="14" width="15" style="1" hidden="1" customWidth="1"/>
    <col min="15" max="15" width="13.5703125" style="1" customWidth="1"/>
    <col min="16" max="16" width="13.85546875" style="1" customWidth="1"/>
    <col min="17" max="18" width="13.42578125" style="1" customWidth="1"/>
    <col min="19" max="19" width="13.140625" style="1" customWidth="1"/>
    <col min="20" max="20" width="14.28515625" style="1" customWidth="1"/>
    <col min="21" max="21" width="15.5703125" style="1" customWidth="1"/>
    <col min="22" max="22" width="9.140625" style="1" customWidth="1"/>
    <col min="23" max="23" width="10.5703125" style="1" customWidth="1"/>
    <col min="24" max="16384" width="9.140625" style="1"/>
  </cols>
  <sheetData>
    <row r="1" spans="1:22" x14ac:dyDescent="0.2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2" x14ac:dyDescent="0.2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2" x14ac:dyDescent="0.2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</row>
    <row r="4" spans="1:22" ht="13.5" thickBot="1" x14ac:dyDescent="0.25"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2" ht="13.5" thickBot="1" x14ac:dyDescent="0.25">
      <c r="A5" s="4" t="s">
        <v>3</v>
      </c>
      <c r="B5" s="62"/>
      <c r="C5" s="63"/>
      <c r="D5" s="64"/>
      <c r="E5" s="5" t="s">
        <v>4</v>
      </c>
      <c r="F5" s="6"/>
      <c r="G5" s="65" t="s">
        <v>5</v>
      </c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7"/>
    </row>
    <row r="6" spans="1:22" x14ac:dyDescent="0.2">
      <c r="A6" s="7" t="s">
        <v>6</v>
      </c>
      <c r="B6" s="68" t="s">
        <v>7</v>
      </c>
      <c r="C6" s="69"/>
      <c r="D6" s="70"/>
      <c r="E6" s="8" t="s">
        <v>8</v>
      </c>
      <c r="F6" s="9" t="s">
        <v>9</v>
      </c>
      <c r="G6" s="71" t="s">
        <v>10</v>
      </c>
      <c r="H6" s="71" t="s">
        <v>11</v>
      </c>
      <c r="I6" s="73" t="s">
        <v>12</v>
      </c>
      <c r="J6" s="71" t="s">
        <v>13</v>
      </c>
      <c r="K6" s="71" t="s">
        <v>14</v>
      </c>
      <c r="L6" s="71" t="s">
        <v>15</v>
      </c>
      <c r="M6" s="71" t="s">
        <v>16</v>
      </c>
      <c r="N6" s="71" t="s">
        <v>17</v>
      </c>
      <c r="O6" s="73" t="s">
        <v>18</v>
      </c>
      <c r="P6" s="73" t="s">
        <v>19</v>
      </c>
      <c r="Q6" s="73" t="s">
        <v>20</v>
      </c>
      <c r="R6" s="73" t="s">
        <v>21</v>
      </c>
      <c r="S6" s="73" t="s">
        <v>22</v>
      </c>
      <c r="T6" s="73" t="s">
        <v>23</v>
      </c>
    </row>
    <row r="7" spans="1:22" ht="13.5" thickBot="1" x14ac:dyDescent="0.25">
      <c r="A7" s="10"/>
      <c r="B7" s="76"/>
      <c r="C7" s="77"/>
      <c r="D7" s="78"/>
      <c r="E7" s="11"/>
      <c r="F7" s="12"/>
      <c r="G7" s="72"/>
      <c r="H7" s="72"/>
      <c r="I7" s="74"/>
      <c r="J7" s="72"/>
      <c r="K7" s="72"/>
      <c r="L7" s="72"/>
      <c r="M7" s="72"/>
      <c r="N7" s="72"/>
      <c r="O7" s="75"/>
      <c r="P7" s="75"/>
      <c r="Q7" s="75"/>
      <c r="R7" s="75"/>
      <c r="S7" s="75"/>
      <c r="T7" s="75"/>
    </row>
    <row r="8" spans="1:22" x14ac:dyDescent="0.2">
      <c r="A8" s="13"/>
      <c r="B8" s="79" t="s">
        <v>24</v>
      </c>
      <c r="C8" s="79"/>
      <c r="D8" s="79"/>
      <c r="E8" s="13"/>
      <c r="F8" s="14"/>
      <c r="G8" s="14"/>
      <c r="H8" s="14"/>
      <c r="I8" s="14"/>
      <c r="J8" s="14"/>
      <c r="K8" s="14"/>
      <c r="L8" s="14"/>
      <c r="M8" s="14"/>
      <c r="N8" s="14"/>
      <c r="O8" s="15"/>
      <c r="P8" s="15"/>
      <c r="Q8" s="15"/>
      <c r="R8" s="15"/>
      <c r="S8" s="15"/>
      <c r="T8" s="15"/>
    </row>
    <row r="9" spans="1:22" x14ac:dyDescent="0.2">
      <c r="A9" s="16"/>
      <c r="B9" s="80" t="s">
        <v>25</v>
      </c>
      <c r="C9" s="80"/>
      <c r="D9" s="80"/>
      <c r="E9" s="16" t="s">
        <v>26</v>
      </c>
      <c r="F9" s="17"/>
      <c r="G9" s="18"/>
      <c r="H9" s="19">
        <f>G43</f>
        <v>15375.559999999998</v>
      </c>
      <c r="I9" s="17">
        <f>H43</f>
        <v>20069.579999999958</v>
      </c>
      <c r="J9" s="20">
        <f>I43</f>
        <v>18607.979999999981</v>
      </c>
      <c r="K9" s="21">
        <f>I43</f>
        <v>18607.979999999981</v>
      </c>
      <c r="L9" s="21">
        <f>K43</f>
        <v>3057.8100000000559</v>
      </c>
      <c r="M9" s="21">
        <f>L43</f>
        <v>18.350000000093132</v>
      </c>
      <c r="N9" s="20"/>
      <c r="O9" s="21">
        <f>M43</f>
        <v>0</v>
      </c>
      <c r="P9" s="21">
        <f>O43</f>
        <v>47.729999999981374</v>
      </c>
      <c r="Q9" s="21">
        <f>P43</f>
        <v>13.929999999993015</v>
      </c>
      <c r="R9" s="21">
        <f>Q43</f>
        <v>9647.6699999999837</v>
      </c>
      <c r="S9" s="21">
        <f>R43</f>
        <v>11.469999999855645</v>
      </c>
      <c r="T9" s="21">
        <f>S43</f>
        <v>117.05999999988126</v>
      </c>
    </row>
    <row r="10" spans="1:22" x14ac:dyDescent="0.2">
      <c r="A10" s="16"/>
      <c r="B10" s="81"/>
      <c r="C10" s="81"/>
      <c r="D10" s="81"/>
      <c r="E10" s="16" t="s">
        <v>26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1:22" s="26" customFormat="1" x14ac:dyDescent="0.2">
      <c r="A11" s="23" t="s">
        <v>27</v>
      </c>
      <c r="B11" s="81" t="s">
        <v>28</v>
      </c>
      <c r="C11" s="81"/>
      <c r="D11" s="81"/>
      <c r="E11" s="16" t="s">
        <v>26</v>
      </c>
      <c r="F11" s="24">
        <f>SUM(F13,F16,F17,F18,F19)</f>
        <v>6242436.6399999997</v>
      </c>
      <c r="G11" s="24">
        <f t="shared" ref="G11:L11" si="0">SUM(G13,G14,G15+G18+G17+G19)</f>
        <v>462256.58</v>
      </c>
      <c r="H11" s="24">
        <f t="shared" si="0"/>
        <v>485704.14999999997</v>
      </c>
      <c r="I11" s="24">
        <f t="shared" si="0"/>
        <v>629407.4</v>
      </c>
      <c r="J11" s="24">
        <f t="shared" si="0"/>
        <v>1577368.13</v>
      </c>
      <c r="K11" s="24">
        <f t="shared" si="0"/>
        <v>608703.82000000007</v>
      </c>
      <c r="L11" s="24">
        <f t="shared" si="0"/>
        <v>686863.14</v>
      </c>
      <c r="M11" s="24">
        <f>SUM(M13,M16)</f>
        <v>522815.1</v>
      </c>
      <c r="N11" s="24">
        <f>SUM(N13,N14,N15+N18+N17+N19)</f>
        <v>1788382.06</v>
      </c>
      <c r="O11" s="24">
        <f>SUM(O13,O16)</f>
        <v>387036.6</v>
      </c>
      <c r="P11" s="24">
        <f>SUM(P13,P16)</f>
        <v>434102</v>
      </c>
      <c r="Q11" s="24">
        <f>SUM(Q13,Q16)</f>
        <v>374186.56</v>
      </c>
      <c r="R11" s="24">
        <f>SUM(R13,R16,R19)</f>
        <v>552775.67999999993</v>
      </c>
      <c r="S11" s="24">
        <f>SUM(S13,S16)</f>
        <v>460041.43</v>
      </c>
      <c r="T11" s="24">
        <f>SUM(T13,T16)</f>
        <v>638544.18000000005</v>
      </c>
      <c r="U11" s="25">
        <f>O11+M11+L11+K11+I11+H11+G11+P11+Q11+R11+S11+T11</f>
        <v>6242436.6399999987</v>
      </c>
      <c r="V11" s="1" t="b">
        <f>U11=F11</f>
        <v>1</v>
      </c>
    </row>
    <row r="12" spans="1:22" s="26" customFormat="1" x14ac:dyDescent="0.2">
      <c r="A12" s="23"/>
      <c r="B12" s="82" t="s">
        <v>29</v>
      </c>
      <c r="C12" s="82"/>
      <c r="D12" s="82"/>
      <c r="E12" s="16" t="s">
        <v>26</v>
      </c>
      <c r="F12" s="24"/>
      <c r="G12" s="24"/>
      <c r="H12" s="24"/>
      <c r="I12" s="24"/>
      <c r="J12" s="24"/>
      <c r="K12" s="24"/>
      <c r="L12" s="24"/>
      <c r="M12" s="24"/>
      <c r="N12" s="24"/>
      <c r="O12" s="18"/>
      <c r="P12" s="18"/>
      <c r="Q12" s="18"/>
      <c r="R12" s="18"/>
      <c r="S12" s="18"/>
      <c r="T12" s="18"/>
      <c r="U12" s="25"/>
      <c r="V12" s="1"/>
    </row>
    <row r="13" spans="1:22" ht="24.75" customHeight="1" x14ac:dyDescent="0.2">
      <c r="A13" s="16"/>
      <c r="B13" s="80" t="s">
        <v>30</v>
      </c>
      <c r="C13" s="80"/>
      <c r="D13" s="80"/>
      <c r="E13" s="16" t="s">
        <v>26</v>
      </c>
      <c r="F13" s="17">
        <f t="shared" ref="F13:F19" si="1">G13+H13+I13+K13+L13+M13+O13+P13+Q13+R13+S13+T13</f>
        <v>5946986.3499999996</v>
      </c>
      <c r="G13" s="17">
        <f>434306.58+10000</f>
        <v>444306.58</v>
      </c>
      <c r="H13" s="17">
        <f>479942.6+5761.55</f>
        <v>485704.14999999997</v>
      </c>
      <c r="I13" s="17">
        <v>629407.4</v>
      </c>
      <c r="J13" s="17">
        <f>SUM(G13:I13)</f>
        <v>1559418.13</v>
      </c>
      <c r="K13" s="17">
        <f>555503.53+3200</f>
        <v>558703.53</v>
      </c>
      <c r="L13" s="17">
        <f>675203.14+4160</f>
        <v>679363.14</v>
      </c>
      <c r="M13" s="17">
        <f>489335.1+3480</f>
        <v>492815.1</v>
      </c>
      <c r="N13" s="17">
        <f>SUM(K13:M13)</f>
        <v>1730881.77</v>
      </c>
      <c r="O13" s="19">
        <f>353636.6+3400</f>
        <v>357036.6</v>
      </c>
      <c r="P13" s="19">
        <f>401597+2505</f>
        <v>404102</v>
      </c>
      <c r="Q13" s="19">
        <f>341716.56+2470</f>
        <v>344186.56</v>
      </c>
      <c r="R13" s="19">
        <f>450305.68+2470</f>
        <v>452775.67999999999</v>
      </c>
      <c r="S13" s="19">
        <f>455979.71+4061.72</f>
        <v>460041.43</v>
      </c>
      <c r="T13" s="19">
        <f>632544.18+6000</f>
        <v>638544.18000000005</v>
      </c>
      <c r="U13" s="25">
        <f t="shared" ref="U13:U42" si="2">O13+M13+L13+K13+I13+H13+G13+P13+Q13+R13+S13+T13</f>
        <v>5946986.3499999987</v>
      </c>
      <c r="V13" s="1" t="b">
        <f t="shared" ref="V13:V42" si="3">U13=F13</f>
        <v>1</v>
      </c>
    </row>
    <row r="14" spans="1:22" ht="36" hidden="1" customHeight="1" x14ac:dyDescent="0.2">
      <c r="A14" s="16"/>
      <c r="B14" s="83" t="s">
        <v>31</v>
      </c>
      <c r="C14" s="84"/>
      <c r="D14" s="85"/>
      <c r="E14" s="16" t="s">
        <v>26</v>
      </c>
      <c r="F14" s="17">
        <f t="shared" si="1"/>
        <v>0</v>
      </c>
      <c r="G14" s="17"/>
      <c r="H14" s="17"/>
      <c r="I14" s="17"/>
      <c r="J14" s="17">
        <f t="shared" ref="J14:J19" si="4">SUM(G14:I14)</f>
        <v>0</v>
      </c>
      <c r="K14" s="17"/>
      <c r="L14" s="17"/>
      <c r="M14" s="17"/>
      <c r="N14" s="17">
        <f t="shared" ref="N14:N19" si="5">SUM(K14:M14)</f>
        <v>0</v>
      </c>
      <c r="O14" s="19"/>
      <c r="P14" s="19"/>
      <c r="Q14" s="19"/>
      <c r="R14" s="19"/>
      <c r="S14" s="19"/>
      <c r="T14" s="19"/>
      <c r="U14" s="25">
        <f t="shared" si="2"/>
        <v>0</v>
      </c>
      <c r="V14" s="1" t="b">
        <f t="shared" si="3"/>
        <v>1</v>
      </c>
    </row>
    <row r="15" spans="1:22" hidden="1" x14ac:dyDescent="0.2">
      <c r="A15" s="16"/>
      <c r="B15" s="80" t="s">
        <v>32</v>
      </c>
      <c r="C15" s="80"/>
      <c r="D15" s="80"/>
      <c r="E15" s="16" t="s">
        <v>26</v>
      </c>
      <c r="F15" s="17">
        <f t="shared" si="1"/>
        <v>0</v>
      </c>
      <c r="G15" s="17"/>
      <c r="H15" s="17"/>
      <c r="I15" s="17"/>
      <c r="J15" s="17">
        <f t="shared" si="4"/>
        <v>0</v>
      </c>
      <c r="K15" s="17"/>
      <c r="L15" s="17"/>
      <c r="M15" s="17"/>
      <c r="N15" s="17">
        <f t="shared" si="5"/>
        <v>0</v>
      </c>
      <c r="O15" s="19"/>
      <c r="P15" s="19"/>
      <c r="Q15" s="19"/>
      <c r="R15" s="19"/>
      <c r="S15" s="19"/>
      <c r="T15" s="19"/>
      <c r="U15" s="25">
        <f t="shared" si="2"/>
        <v>0</v>
      </c>
      <c r="V15" s="1" t="b">
        <f t="shared" si="3"/>
        <v>1</v>
      </c>
    </row>
    <row r="16" spans="1:22" x14ac:dyDescent="0.2">
      <c r="A16" s="16"/>
      <c r="B16" s="80" t="s">
        <v>33</v>
      </c>
      <c r="C16" s="80"/>
      <c r="D16" s="80"/>
      <c r="E16" s="16" t="s">
        <v>26</v>
      </c>
      <c r="F16" s="17">
        <f t="shared" si="1"/>
        <v>150000</v>
      </c>
      <c r="G16" s="17"/>
      <c r="H16" s="17"/>
      <c r="I16" s="17"/>
      <c r="J16" s="17">
        <f t="shared" si="4"/>
        <v>0</v>
      </c>
      <c r="K16" s="17"/>
      <c r="L16" s="17"/>
      <c r="M16" s="17">
        <v>30000</v>
      </c>
      <c r="N16" s="17">
        <f t="shared" si="5"/>
        <v>30000</v>
      </c>
      <c r="O16" s="19">
        <v>30000</v>
      </c>
      <c r="P16" s="19">
        <v>30000</v>
      </c>
      <c r="Q16" s="19">
        <v>30000</v>
      </c>
      <c r="R16" s="19">
        <v>30000</v>
      </c>
      <c r="S16" s="19"/>
      <c r="T16" s="19"/>
      <c r="U16" s="25">
        <f>O16+M16+L16+K16+I16+H16+G16+P16+Q16+R16+S16+T16</f>
        <v>150000</v>
      </c>
      <c r="V16" s="1" t="b">
        <f>U16=F16</f>
        <v>1</v>
      </c>
    </row>
    <row r="17" spans="1:22" x14ac:dyDescent="0.2">
      <c r="A17" s="16"/>
      <c r="B17" s="80" t="s">
        <v>34</v>
      </c>
      <c r="C17" s="80"/>
      <c r="D17" s="80"/>
      <c r="E17" s="16" t="s">
        <v>26</v>
      </c>
      <c r="F17" s="17">
        <f t="shared" si="1"/>
        <v>67950.290000000008</v>
      </c>
      <c r="G17" s="17">
        <v>17950</v>
      </c>
      <c r="H17" s="17"/>
      <c r="I17" s="17"/>
      <c r="J17" s="17">
        <f t="shared" si="4"/>
        <v>17950</v>
      </c>
      <c r="K17" s="17">
        <v>50000.29</v>
      </c>
      <c r="L17" s="17"/>
      <c r="M17" s="17"/>
      <c r="N17" s="17">
        <f t="shared" si="5"/>
        <v>50000.29</v>
      </c>
      <c r="O17" s="19"/>
      <c r="P17" s="22"/>
      <c r="Q17" s="22"/>
      <c r="R17" s="22"/>
      <c r="S17" s="19"/>
      <c r="T17" s="19"/>
      <c r="U17" s="25">
        <f>O17+M17+L17+K17+I17+H17+G17+P17+Q17+R17+S17+T17</f>
        <v>67950.290000000008</v>
      </c>
      <c r="V17" s="1" t="b">
        <f>U17=F17</f>
        <v>1</v>
      </c>
    </row>
    <row r="18" spans="1:22" ht="12.75" hidden="1" customHeight="1" x14ac:dyDescent="0.2">
      <c r="A18" s="16"/>
      <c r="B18" s="83" t="s">
        <v>35</v>
      </c>
      <c r="C18" s="84"/>
      <c r="D18" s="85"/>
      <c r="E18" s="16" t="s">
        <v>26</v>
      </c>
      <c r="F18" s="17">
        <f t="shared" si="1"/>
        <v>0</v>
      </c>
      <c r="G18" s="27"/>
      <c r="H18" s="22"/>
      <c r="I18" s="22"/>
      <c r="J18" s="17">
        <f t="shared" si="4"/>
        <v>0</v>
      </c>
      <c r="K18" s="16"/>
      <c r="L18" s="22"/>
      <c r="M18" s="22"/>
      <c r="N18" s="17">
        <f t="shared" si="5"/>
        <v>0</v>
      </c>
      <c r="O18" s="24"/>
      <c r="P18" s="24"/>
      <c r="Q18" s="24"/>
      <c r="R18" s="24"/>
      <c r="S18" s="28"/>
      <c r="T18" s="17"/>
      <c r="U18" s="25">
        <f>O18+M18+L18+K18+I18+H18+G18+P18+Q18+R18+S18+T18</f>
        <v>0</v>
      </c>
      <c r="V18" s="1" t="b">
        <f>U18=F18</f>
        <v>1</v>
      </c>
    </row>
    <row r="19" spans="1:22" ht="12.75" customHeight="1" x14ac:dyDescent="0.2">
      <c r="A19" s="16"/>
      <c r="B19" s="80" t="s">
        <v>36</v>
      </c>
      <c r="C19" s="80"/>
      <c r="D19" s="80"/>
      <c r="E19" s="16" t="s">
        <v>26</v>
      </c>
      <c r="F19" s="17">
        <f t="shared" si="1"/>
        <v>77500</v>
      </c>
      <c r="G19" s="27"/>
      <c r="H19" s="22"/>
      <c r="I19" s="22"/>
      <c r="J19" s="17">
        <f t="shared" si="4"/>
        <v>0</v>
      </c>
      <c r="K19" s="16"/>
      <c r="L19" s="19">
        <v>7500</v>
      </c>
      <c r="M19" s="22"/>
      <c r="N19" s="17">
        <f t="shared" si="5"/>
        <v>7500</v>
      </c>
      <c r="O19" s="24"/>
      <c r="P19" s="24"/>
      <c r="Q19" s="24"/>
      <c r="R19" s="17">
        <v>70000</v>
      </c>
      <c r="S19" s="28"/>
      <c r="T19" s="17"/>
      <c r="U19" s="25">
        <f>O19+M19+L19+K19+I19+H19+G19+P19+Q19+R19+S19+T19</f>
        <v>77500</v>
      </c>
      <c r="V19" s="1" t="b">
        <f>U19=F19</f>
        <v>1</v>
      </c>
    </row>
    <row r="20" spans="1:22" s="26" customFormat="1" ht="12.75" customHeight="1" x14ac:dyDescent="0.2">
      <c r="A20" s="23" t="s">
        <v>37</v>
      </c>
      <c r="B20" s="88" t="s">
        <v>38</v>
      </c>
      <c r="C20" s="89"/>
      <c r="D20" s="90"/>
      <c r="E20" s="16" t="s">
        <v>26</v>
      </c>
      <c r="F20" s="24">
        <f>SUM(F22:F31)</f>
        <v>6235918.5500000007</v>
      </c>
      <c r="G20" s="24">
        <f t="shared" ref="G20:P20" si="6">SUM(G22:G31)</f>
        <v>446881.02</v>
      </c>
      <c r="H20" s="24">
        <f t="shared" si="6"/>
        <v>481010.13</v>
      </c>
      <c r="I20" s="24">
        <f t="shared" si="6"/>
        <v>630869</v>
      </c>
      <c r="J20" s="24">
        <f t="shared" si="6"/>
        <v>1557929.15</v>
      </c>
      <c r="K20" s="24">
        <f t="shared" si="6"/>
        <v>624253.99</v>
      </c>
      <c r="L20" s="24">
        <f t="shared" si="6"/>
        <v>689902.6</v>
      </c>
      <c r="M20" s="24">
        <f>SUM(M22:M31)</f>
        <v>522833.45</v>
      </c>
      <c r="N20" s="24">
        <f t="shared" si="6"/>
        <v>1788200.04</v>
      </c>
      <c r="O20" s="24">
        <f t="shared" si="6"/>
        <v>386988.87</v>
      </c>
      <c r="P20" s="24">
        <f t="shared" si="6"/>
        <v>434135.8</v>
      </c>
      <c r="Q20" s="24">
        <f>SUM(Q22:Q31)</f>
        <v>364552.82</v>
      </c>
      <c r="R20" s="24">
        <f>SUM(R22:R31)</f>
        <v>562411.88</v>
      </c>
      <c r="S20" s="24">
        <f>SUM(S22:S31)</f>
        <v>459935.83999999997</v>
      </c>
      <c r="T20" s="24">
        <f>SUM(T22:T31)</f>
        <v>632143.15</v>
      </c>
      <c r="U20" s="25">
        <f t="shared" si="2"/>
        <v>6235918.5500000007</v>
      </c>
      <c r="V20" s="1" t="b">
        <f t="shared" si="3"/>
        <v>1</v>
      </c>
    </row>
    <row r="21" spans="1:22" s="26" customFormat="1" ht="12.75" customHeight="1" x14ac:dyDescent="0.2">
      <c r="A21" s="23"/>
      <c r="B21" s="86" t="s">
        <v>29</v>
      </c>
      <c r="C21" s="86"/>
      <c r="D21" s="86"/>
      <c r="E21" s="16" t="s">
        <v>26</v>
      </c>
      <c r="F21" s="17"/>
      <c r="G21" s="18"/>
      <c r="H21" s="18"/>
      <c r="I21" s="18"/>
      <c r="J21" s="18"/>
      <c r="K21" s="18"/>
      <c r="L21" s="18"/>
      <c r="M21" s="18"/>
      <c r="N21" s="18"/>
      <c r="O21" s="19"/>
      <c r="P21" s="19"/>
      <c r="Q21" s="19"/>
      <c r="R21" s="19"/>
      <c r="S21" s="19"/>
      <c r="T21" s="19"/>
      <c r="U21" s="25">
        <f>O21+M21+L21+K21+I21+H21+G21+P21+Q21+R21+S21+T21</f>
        <v>0</v>
      </c>
      <c r="V21" s="1" t="b">
        <f>U21=F21</f>
        <v>1</v>
      </c>
    </row>
    <row r="22" spans="1:22" ht="12.75" customHeight="1" x14ac:dyDescent="0.2">
      <c r="A22" s="16"/>
      <c r="B22" s="80" t="s">
        <v>39</v>
      </c>
      <c r="C22" s="80"/>
      <c r="D22" s="80"/>
      <c r="E22" s="16" t="s">
        <v>26</v>
      </c>
      <c r="F22" s="17">
        <f t="shared" ref="F22:F42" si="7">G22+H22+I22+K22+L22+M22+O22+P22+Q22+R22+S22+T22</f>
        <v>1087819.6400000001</v>
      </c>
      <c r="G22" s="17">
        <v>76969</v>
      </c>
      <c r="H22" s="17">
        <f>80624.33</f>
        <v>80624.33</v>
      </c>
      <c r="I22" s="17">
        <v>106972.9</v>
      </c>
      <c r="J22" s="17">
        <f t="shared" ref="J22:J30" si="8">SUM(G22:I22)</f>
        <v>264566.23</v>
      </c>
      <c r="K22" s="17">
        <v>62267.41</v>
      </c>
      <c r="L22" s="17">
        <f>90899</f>
        <v>90899</v>
      </c>
      <c r="M22" s="17">
        <v>76785</v>
      </c>
      <c r="N22" s="17">
        <f t="shared" ref="N22:N30" si="9">SUM(K22:M22)</f>
        <v>229951.41</v>
      </c>
      <c r="O22" s="19">
        <f>106613-1200</f>
        <v>105413</v>
      </c>
      <c r="P22" s="19">
        <v>102260</v>
      </c>
      <c r="Q22" s="19">
        <v>84504</v>
      </c>
      <c r="R22" s="19">
        <v>76811</v>
      </c>
      <c r="S22" s="19">
        <v>114045</v>
      </c>
      <c r="T22" s="19">
        <v>110269</v>
      </c>
      <c r="U22" s="25">
        <f t="shared" si="2"/>
        <v>1087819.6400000001</v>
      </c>
      <c r="V22" s="1" t="b">
        <f t="shared" si="3"/>
        <v>1</v>
      </c>
    </row>
    <row r="23" spans="1:22" ht="12.75" hidden="1" customHeight="1" x14ac:dyDescent="0.2">
      <c r="A23" s="16"/>
      <c r="B23" s="87" t="s">
        <v>40</v>
      </c>
      <c r="C23" s="87"/>
      <c r="D23" s="87"/>
      <c r="E23" s="16" t="s">
        <v>26</v>
      </c>
      <c r="F23" s="17">
        <f t="shared" si="7"/>
        <v>0</v>
      </c>
      <c r="G23" s="17"/>
      <c r="H23" s="17"/>
      <c r="I23" s="17"/>
      <c r="J23" s="17"/>
      <c r="K23" s="17"/>
      <c r="L23" s="17"/>
      <c r="M23" s="17"/>
      <c r="N23" s="17"/>
      <c r="O23" s="19"/>
      <c r="P23" s="19"/>
      <c r="Q23" s="19"/>
      <c r="R23" s="19"/>
      <c r="S23" s="19"/>
      <c r="T23" s="19"/>
      <c r="U23" s="25">
        <f>O23+M23+L23+K23+I23+H23+G23+P23+Q23+R23+S23+T23</f>
        <v>0</v>
      </c>
      <c r="V23" s="1" t="b">
        <f>U23=F23</f>
        <v>1</v>
      </c>
    </row>
    <row r="24" spans="1:22" ht="11.25" customHeight="1" x14ac:dyDescent="0.2">
      <c r="A24" s="16"/>
      <c r="B24" s="80" t="s">
        <v>41</v>
      </c>
      <c r="C24" s="80"/>
      <c r="D24" s="80"/>
      <c r="E24" s="16" t="s">
        <v>26</v>
      </c>
      <c r="F24" s="17">
        <f t="shared" si="7"/>
        <v>219461.34</v>
      </c>
      <c r="G24" s="17">
        <v>14398.02</v>
      </c>
      <c r="H24" s="17">
        <f>2040.8</f>
        <v>2040.8</v>
      </c>
      <c r="I24" s="17">
        <f>56832.1</f>
        <v>56832.1</v>
      </c>
      <c r="J24" s="17">
        <f t="shared" si="8"/>
        <v>73270.92</v>
      </c>
      <c r="K24" s="17">
        <v>4672.58</v>
      </c>
      <c r="L24" s="17">
        <v>65289.599999999999</v>
      </c>
      <c r="M24" s="17">
        <v>23608.12</v>
      </c>
      <c r="N24" s="17">
        <f t="shared" si="9"/>
        <v>93570.299999999988</v>
      </c>
      <c r="O24" s="19">
        <v>8561.8700000000008</v>
      </c>
      <c r="P24" s="19">
        <f>430+2517.8</f>
        <v>2947.8</v>
      </c>
      <c r="Q24" s="19">
        <f>11248.82-1062.32</f>
        <v>10186.5</v>
      </c>
      <c r="R24" s="19">
        <v>12486.88</v>
      </c>
      <c r="S24" s="19">
        <f>5976.84-499.92</f>
        <v>5476.92</v>
      </c>
      <c r="T24" s="19">
        <v>12960.15</v>
      </c>
      <c r="U24" s="25">
        <f t="shared" si="2"/>
        <v>219461.33999999997</v>
      </c>
      <c r="V24" s="1" t="b">
        <f t="shared" si="3"/>
        <v>1</v>
      </c>
    </row>
    <row r="25" spans="1:22" ht="12.75" customHeight="1" x14ac:dyDescent="0.2">
      <c r="A25" s="16"/>
      <c r="B25" s="80" t="s">
        <v>42</v>
      </c>
      <c r="C25" s="80"/>
      <c r="D25" s="80"/>
      <c r="E25" s="16" t="s">
        <v>26</v>
      </c>
      <c r="F25" s="17">
        <f t="shared" si="7"/>
        <v>10800</v>
      </c>
      <c r="G25" s="17">
        <v>1200</v>
      </c>
      <c r="H25" s="17">
        <v>1200</v>
      </c>
      <c r="I25" s="17">
        <v>1200</v>
      </c>
      <c r="J25" s="17">
        <f t="shared" si="8"/>
        <v>3600</v>
      </c>
      <c r="K25" s="17"/>
      <c r="L25" s="17">
        <v>1200</v>
      </c>
      <c r="M25" s="17">
        <v>1200</v>
      </c>
      <c r="N25" s="17">
        <f t="shared" si="9"/>
        <v>2400</v>
      </c>
      <c r="O25" s="19">
        <v>1200</v>
      </c>
      <c r="P25" s="19">
        <v>1200</v>
      </c>
      <c r="Q25" s="19">
        <v>1200</v>
      </c>
      <c r="R25" s="19">
        <v>1200</v>
      </c>
      <c r="S25" s="19"/>
      <c r="T25" s="19"/>
      <c r="U25" s="25">
        <f t="shared" si="2"/>
        <v>10800</v>
      </c>
      <c r="V25" s="1" t="b">
        <f t="shared" si="3"/>
        <v>1</v>
      </c>
    </row>
    <row r="26" spans="1:22" ht="12.75" customHeight="1" x14ac:dyDescent="0.2">
      <c r="A26" s="16"/>
      <c r="B26" s="80" t="s">
        <v>43</v>
      </c>
      <c r="C26" s="80"/>
      <c r="D26" s="80"/>
      <c r="E26" s="16" t="s">
        <v>26</v>
      </c>
      <c r="F26" s="17">
        <f t="shared" si="7"/>
        <v>22968</v>
      </c>
      <c r="G26" s="17">
        <v>1914</v>
      </c>
      <c r="H26" s="17">
        <v>1914</v>
      </c>
      <c r="I26" s="17">
        <v>1914</v>
      </c>
      <c r="J26" s="17">
        <f t="shared" si="8"/>
        <v>5742</v>
      </c>
      <c r="K26" s="17">
        <v>1914</v>
      </c>
      <c r="L26" s="17">
        <v>1914</v>
      </c>
      <c r="M26" s="17">
        <v>1914</v>
      </c>
      <c r="N26" s="17">
        <f t="shared" si="9"/>
        <v>5742</v>
      </c>
      <c r="O26" s="19">
        <v>1914</v>
      </c>
      <c r="P26" s="19">
        <f>1914+1914</f>
        <v>3828</v>
      </c>
      <c r="Q26" s="19"/>
      <c r="R26" s="19">
        <v>1914</v>
      </c>
      <c r="S26" s="19">
        <v>1914</v>
      </c>
      <c r="T26" s="19">
        <v>1914</v>
      </c>
      <c r="U26" s="25">
        <f t="shared" si="2"/>
        <v>22968</v>
      </c>
      <c r="V26" s="1" t="b">
        <f t="shared" si="3"/>
        <v>1</v>
      </c>
    </row>
    <row r="27" spans="1:22" ht="12.75" customHeight="1" x14ac:dyDescent="0.2">
      <c r="A27" s="16"/>
      <c r="B27" s="80" t="s">
        <v>44</v>
      </c>
      <c r="C27" s="80"/>
      <c r="D27" s="80"/>
      <c r="E27" s="16"/>
      <c r="F27" s="17">
        <f t="shared" si="7"/>
        <v>1562.24</v>
      </c>
      <c r="G27" s="17"/>
      <c r="H27" s="17"/>
      <c r="I27" s="17"/>
      <c r="J27" s="17"/>
      <c r="K27" s="17"/>
      <c r="L27" s="17"/>
      <c r="M27" s="17"/>
      <c r="N27" s="17"/>
      <c r="O27" s="19"/>
      <c r="P27" s="19"/>
      <c r="Q27" s="19">
        <f>562.52+499.8</f>
        <v>1062.32</v>
      </c>
      <c r="R27" s="19"/>
      <c r="S27" s="19">
        <v>499.92</v>
      </c>
      <c r="T27" s="19"/>
      <c r="U27" s="25">
        <f>O27+M27+L27+K27+I27+H27+G27+P27+Q27+R27+S27+T27</f>
        <v>1562.24</v>
      </c>
      <c r="V27" s="1" t="b">
        <f>U27=F27</f>
        <v>1</v>
      </c>
    </row>
    <row r="28" spans="1:22" ht="12.75" customHeight="1" x14ac:dyDescent="0.2">
      <c r="A28" s="16"/>
      <c r="B28" s="80" t="s">
        <v>45</v>
      </c>
      <c r="C28" s="80"/>
      <c r="D28" s="80"/>
      <c r="E28" s="16" t="s">
        <v>26</v>
      </c>
      <c r="F28" s="17">
        <f t="shared" si="7"/>
        <v>831</v>
      </c>
      <c r="G28" s="17"/>
      <c r="H28" s="17">
        <v>831</v>
      </c>
      <c r="I28" s="17"/>
      <c r="J28" s="17"/>
      <c r="K28" s="17"/>
      <c r="L28" s="17"/>
      <c r="M28" s="17"/>
      <c r="N28" s="17"/>
      <c r="O28" s="19"/>
      <c r="P28" s="19"/>
      <c r="Q28" s="19"/>
      <c r="R28" s="19"/>
      <c r="S28" s="19"/>
      <c r="T28" s="19"/>
      <c r="U28" s="25">
        <f>O28+M28+L28+K28+I28+H28+G28+P28+Q28+R28+S28+T28</f>
        <v>831</v>
      </c>
      <c r="V28" s="1" t="b">
        <f>U28=F28</f>
        <v>1</v>
      </c>
    </row>
    <row r="29" spans="1:22" ht="12.75" customHeight="1" x14ac:dyDescent="0.2">
      <c r="A29" s="16"/>
      <c r="B29" s="80" t="s">
        <v>46</v>
      </c>
      <c r="C29" s="80"/>
      <c r="D29" s="80"/>
      <c r="E29" s="16" t="s">
        <v>26</v>
      </c>
      <c r="F29" s="17">
        <f t="shared" si="7"/>
        <v>4612850</v>
      </c>
      <c r="G29" s="29">
        <v>352400</v>
      </c>
      <c r="H29" s="17">
        <v>394400</v>
      </c>
      <c r="I29" s="17">
        <v>463950</v>
      </c>
      <c r="J29" s="17">
        <f t="shared" si="8"/>
        <v>1210750</v>
      </c>
      <c r="K29" s="17">
        <v>555400</v>
      </c>
      <c r="L29" s="17">
        <v>530600</v>
      </c>
      <c r="M29" s="17">
        <v>357100</v>
      </c>
      <c r="N29" s="17">
        <f t="shared" si="9"/>
        <v>1443100</v>
      </c>
      <c r="O29" s="19">
        <v>239900</v>
      </c>
      <c r="P29" s="19">
        <v>263900</v>
      </c>
      <c r="Q29" s="19">
        <v>255700</v>
      </c>
      <c r="R29" s="19">
        <v>440000</v>
      </c>
      <c r="S29" s="19">
        <v>257000</v>
      </c>
      <c r="T29" s="19">
        <v>502500</v>
      </c>
      <c r="U29" s="25">
        <f t="shared" si="2"/>
        <v>4612850</v>
      </c>
      <c r="V29" s="1" t="b">
        <f t="shared" si="3"/>
        <v>1</v>
      </c>
    </row>
    <row r="30" spans="1:22" ht="12.75" customHeight="1" x14ac:dyDescent="0.2">
      <c r="A30" s="16"/>
      <c r="B30" s="83" t="s">
        <v>36</v>
      </c>
      <c r="C30" s="84"/>
      <c r="D30" s="85"/>
      <c r="E30" s="16" t="s">
        <v>26</v>
      </c>
      <c r="F30" s="17">
        <f t="shared" si="7"/>
        <v>77500</v>
      </c>
      <c r="G30" s="17"/>
      <c r="H30" s="17"/>
      <c r="I30" s="17"/>
      <c r="J30" s="17">
        <f t="shared" si="8"/>
        <v>0</v>
      </c>
      <c r="K30" s="17"/>
      <c r="L30" s="17"/>
      <c r="M30" s="17">
        <v>7500</v>
      </c>
      <c r="N30" s="17">
        <f t="shared" si="9"/>
        <v>7500</v>
      </c>
      <c r="O30" s="19"/>
      <c r="P30" s="19"/>
      <c r="Q30" s="19"/>
      <c r="R30" s="19"/>
      <c r="S30" s="19">
        <v>70000</v>
      </c>
      <c r="T30" s="19"/>
      <c r="U30" s="25">
        <f t="shared" si="2"/>
        <v>77500</v>
      </c>
      <c r="V30" s="1" t="b">
        <f t="shared" si="3"/>
        <v>1</v>
      </c>
    </row>
    <row r="31" spans="1:22" ht="12.75" customHeight="1" x14ac:dyDescent="0.2">
      <c r="A31" s="16"/>
      <c r="B31" s="80" t="s">
        <v>47</v>
      </c>
      <c r="C31" s="80"/>
      <c r="D31" s="80"/>
      <c r="E31" s="16" t="s">
        <v>26</v>
      </c>
      <c r="F31" s="17">
        <f>SUM(F33:F42)</f>
        <v>202126.33000000002</v>
      </c>
      <c r="G31" s="17">
        <f t="shared" ref="G31:T31" si="10">SUM(G33:G42)</f>
        <v>0</v>
      </c>
      <c r="H31" s="17">
        <f t="shared" si="10"/>
        <v>0</v>
      </c>
      <c r="I31" s="17">
        <f t="shared" si="10"/>
        <v>0</v>
      </c>
      <c r="J31" s="17">
        <f t="shared" si="10"/>
        <v>0</v>
      </c>
      <c r="K31" s="17">
        <f t="shared" si="10"/>
        <v>0</v>
      </c>
      <c r="L31" s="17">
        <f t="shared" si="10"/>
        <v>0</v>
      </c>
      <c r="M31" s="17">
        <f t="shared" si="10"/>
        <v>54726.33</v>
      </c>
      <c r="N31" s="17">
        <f t="shared" si="10"/>
        <v>5936.33</v>
      </c>
      <c r="O31" s="17">
        <f t="shared" si="10"/>
        <v>30000</v>
      </c>
      <c r="P31" s="17">
        <f t="shared" si="10"/>
        <v>60000</v>
      </c>
      <c r="Q31" s="17">
        <f t="shared" si="10"/>
        <v>11900</v>
      </c>
      <c r="R31" s="17">
        <f t="shared" si="10"/>
        <v>30000</v>
      </c>
      <c r="S31" s="17">
        <f t="shared" si="10"/>
        <v>11000</v>
      </c>
      <c r="T31" s="17">
        <f t="shared" si="10"/>
        <v>4500</v>
      </c>
      <c r="U31" s="25">
        <f t="shared" si="2"/>
        <v>202126.33000000002</v>
      </c>
      <c r="V31" s="1" t="b">
        <f t="shared" si="3"/>
        <v>1</v>
      </c>
    </row>
    <row r="32" spans="1:22" ht="12.75" hidden="1" customHeight="1" x14ac:dyDescent="0.2">
      <c r="A32" s="16"/>
      <c r="B32" s="83" t="s">
        <v>48</v>
      </c>
      <c r="C32" s="84"/>
      <c r="D32" s="85"/>
      <c r="E32" s="16" t="s">
        <v>26</v>
      </c>
      <c r="F32" s="17">
        <f t="shared" si="7"/>
        <v>0</v>
      </c>
      <c r="G32" s="17"/>
      <c r="H32" s="17"/>
      <c r="I32" s="17"/>
      <c r="J32" s="17">
        <f>SUM(G32:I32)</f>
        <v>0</v>
      </c>
      <c r="K32" s="17"/>
      <c r="L32" s="17"/>
      <c r="M32" s="17"/>
      <c r="N32" s="17">
        <f>SUM(K32:M32)</f>
        <v>0</v>
      </c>
      <c r="O32" s="19"/>
      <c r="P32" s="19"/>
      <c r="Q32" s="19"/>
      <c r="R32" s="19"/>
      <c r="S32" s="19"/>
      <c r="T32" s="19"/>
      <c r="U32" s="25">
        <f t="shared" si="2"/>
        <v>0</v>
      </c>
      <c r="V32" s="1" t="b">
        <f t="shared" si="3"/>
        <v>1</v>
      </c>
    </row>
    <row r="33" spans="1:22" s="33" customFormat="1" ht="12.75" hidden="1" customHeight="1" x14ac:dyDescent="0.2">
      <c r="A33" s="30"/>
      <c r="B33" s="91" t="s">
        <v>49</v>
      </c>
      <c r="C33" s="92"/>
      <c r="D33" s="93"/>
      <c r="E33" s="30" t="s">
        <v>26</v>
      </c>
      <c r="F33" s="31">
        <f t="shared" si="7"/>
        <v>0</v>
      </c>
      <c r="G33" s="31"/>
      <c r="H33" s="31"/>
      <c r="I33" s="31"/>
      <c r="J33" s="31">
        <f>SUM(G33:I33)</f>
        <v>0</v>
      </c>
      <c r="K33" s="31"/>
      <c r="L33" s="31"/>
      <c r="M33" s="31"/>
      <c r="N33" s="31">
        <f>SUM(K33:M33)</f>
        <v>0</v>
      </c>
      <c r="O33" s="32"/>
      <c r="P33" s="32"/>
      <c r="Q33" s="32"/>
      <c r="R33" s="32"/>
      <c r="S33" s="32"/>
      <c r="T33" s="32"/>
      <c r="U33" s="25">
        <f t="shared" si="2"/>
        <v>0</v>
      </c>
      <c r="V33" s="33" t="b">
        <f t="shared" si="3"/>
        <v>1</v>
      </c>
    </row>
    <row r="34" spans="1:22" ht="12.75" hidden="1" customHeight="1" x14ac:dyDescent="0.2">
      <c r="A34" s="16"/>
      <c r="B34" s="83" t="s">
        <v>50</v>
      </c>
      <c r="C34" s="84"/>
      <c r="D34" s="85"/>
      <c r="E34" s="16" t="s">
        <v>26</v>
      </c>
      <c r="F34" s="17">
        <f t="shared" si="7"/>
        <v>0</v>
      </c>
      <c r="G34" s="17"/>
      <c r="H34" s="17"/>
      <c r="I34" s="17"/>
      <c r="J34" s="17">
        <f>SUM(G34:I34)</f>
        <v>0</v>
      </c>
      <c r="K34" s="17"/>
      <c r="L34" s="17"/>
      <c r="M34" s="17"/>
      <c r="N34" s="17">
        <f>SUM(K34:M34)</f>
        <v>0</v>
      </c>
      <c r="O34" s="19"/>
      <c r="P34" s="19"/>
      <c r="Q34" s="19"/>
      <c r="R34" s="19"/>
      <c r="S34" s="19"/>
      <c r="T34" s="19"/>
      <c r="U34" s="25">
        <f t="shared" si="2"/>
        <v>0</v>
      </c>
      <c r="V34" s="34" t="b">
        <f t="shared" si="3"/>
        <v>1</v>
      </c>
    </row>
    <row r="35" spans="1:22" ht="12.75" customHeight="1" x14ac:dyDescent="0.2">
      <c r="A35" s="16"/>
      <c r="B35" s="83" t="s">
        <v>51</v>
      </c>
      <c r="C35" s="84"/>
      <c r="D35" s="85"/>
      <c r="E35" s="16" t="s">
        <v>26</v>
      </c>
      <c r="F35" s="17">
        <f t="shared" si="7"/>
        <v>16600</v>
      </c>
      <c r="G35" s="17"/>
      <c r="H35" s="17"/>
      <c r="I35" s="17"/>
      <c r="J35" s="17"/>
      <c r="K35" s="17"/>
      <c r="L35" s="17"/>
      <c r="M35" s="17">
        <v>16600</v>
      </c>
      <c r="N35" s="17"/>
      <c r="O35" s="19"/>
      <c r="P35" s="19"/>
      <c r="Q35" s="19"/>
      <c r="R35" s="19"/>
      <c r="S35" s="19"/>
      <c r="T35" s="19"/>
      <c r="U35" s="25">
        <f t="shared" si="2"/>
        <v>16600</v>
      </c>
      <c r="V35" s="34" t="b">
        <f t="shared" si="3"/>
        <v>1</v>
      </c>
    </row>
    <row r="36" spans="1:22" ht="12.75" customHeight="1" x14ac:dyDescent="0.2">
      <c r="A36" s="16"/>
      <c r="B36" s="83" t="s">
        <v>52</v>
      </c>
      <c r="C36" s="84"/>
      <c r="D36" s="85"/>
      <c r="E36" s="16" t="s">
        <v>26</v>
      </c>
      <c r="F36" s="17">
        <f t="shared" si="7"/>
        <v>2190</v>
      </c>
      <c r="G36" s="17"/>
      <c r="H36" s="17"/>
      <c r="I36" s="17"/>
      <c r="J36" s="17"/>
      <c r="K36" s="17"/>
      <c r="L36" s="17"/>
      <c r="M36" s="17">
        <v>2190</v>
      </c>
      <c r="N36" s="17"/>
      <c r="O36" s="19"/>
      <c r="P36" s="19"/>
      <c r="Q36" s="19"/>
      <c r="R36" s="19"/>
      <c r="S36" s="19"/>
      <c r="T36" s="19"/>
      <c r="U36" s="25">
        <f t="shared" si="2"/>
        <v>2190</v>
      </c>
      <c r="V36" s="34" t="b">
        <f t="shared" si="3"/>
        <v>1</v>
      </c>
    </row>
    <row r="37" spans="1:22" ht="12.75" customHeight="1" x14ac:dyDescent="0.2">
      <c r="A37" s="16"/>
      <c r="B37" s="83" t="s">
        <v>53</v>
      </c>
      <c r="C37" s="84"/>
      <c r="D37" s="85"/>
      <c r="E37" s="16" t="s">
        <v>26</v>
      </c>
      <c r="F37" s="17">
        <f t="shared" si="7"/>
        <v>131000</v>
      </c>
      <c r="G37" s="17"/>
      <c r="H37" s="17"/>
      <c r="I37" s="17"/>
      <c r="J37" s="17"/>
      <c r="K37" s="17"/>
      <c r="L37" s="17"/>
      <c r="M37" s="17">
        <v>30000</v>
      </c>
      <c r="N37" s="17"/>
      <c r="O37" s="19">
        <v>30000</v>
      </c>
      <c r="P37" s="19">
        <v>30000</v>
      </c>
      <c r="Q37" s="19"/>
      <c r="R37" s="19">
        <v>30000</v>
      </c>
      <c r="S37" s="19">
        <v>11000</v>
      </c>
      <c r="T37" s="19"/>
      <c r="U37" s="25">
        <f t="shared" si="2"/>
        <v>131000</v>
      </c>
      <c r="V37" s="34" t="b">
        <f t="shared" si="3"/>
        <v>1</v>
      </c>
    </row>
    <row r="38" spans="1:22" ht="12.75" customHeight="1" x14ac:dyDescent="0.2">
      <c r="A38" s="16"/>
      <c r="B38" s="83" t="s">
        <v>54</v>
      </c>
      <c r="C38" s="84"/>
      <c r="D38" s="85"/>
      <c r="E38" s="16" t="s">
        <v>26</v>
      </c>
      <c r="F38" s="17">
        <f t="shared" si="7"/>
        <v>11900</v>
      </c>
      <c r="G38" s="17"/>
      <c r="H38" s="17"/>
      <c r="I38" s="17"/>
      <c r="J38" s="17"/>
      <c r="K38" s="17"/>
      <c r="L38" s="17"/>
      <c r="M38" s="17"/>
      <c r="N38" s="17"/>
      <c r="O38" s="19"/>
      <c r="P38" s="19"/>
      <c r="Q38" s="19">
        <v>11900</v>
      </c>
      <c r="R38" s="19"/>
      <c r="S38" s="19"/>
      <c r="T38" s="19"/>
      <c r="U38" s="25">
        <f t="shared" si="2"/>
        <v>11900</v>
      </c>
      <c r="V38" s="34" t="b">
        <f t="shared" si="3"/>
        <v>1</v>
      </c>
    </row>
    <row r="39" spans="1:22" ht="12.75" customHeight="1" x14ac:dyDescent="0.2">
      <c r="A39" s="16"/>
      <c r="B39" s="83" t="s">
        <v>55</v>
      </c>
      <c r="C39" s="84"/>
      <c r="D39" s="85"/>
      <c r="E39" s="16" t="s">
        <v>26</v>
      </c>
      <c r="F39" s="17">
        <f t="shared" si="7"/>
        <v>4500</v>
      </c>
      <c r="G39" s="17"/>
      <c r="H39" s="17"/>
      <c r="I39" s="17"/>
      <c r="J39" s="17"/>
      <c r="K39" s="17"/>
      <c r="L39" s="17"/>
      <c r="M39" s="17"/>
      <c r="N39" s="17"/>
      <c r="O39" s="19"/>
      <c r="P39" s="19"/>
      <c r="Q39" s="19"/>
      <c r="R39" s="19"/>
      <c r="S39" s="19"/>
      <c r="T39" s="19">
        <v>4500</v>
      </c>
      <c r="U39" s="25">
        <f t="shared" si="2"/>
        <v>4500</v>
      </c>
      <c r="V39" s="34" t="b">
        <f t="shared" si="3"/>
        <v>1</v>
      </c>
    </row>
    <row r="40" spans="1:22" ht="12.75" customHeight="1" x14ac:dyDescent="0.2">
      <c r="A40" s="16"/>
      <c r="B40" s="80" t="s">
        <v>56</v>
      </c>
      <c r="C40" s="80"/>
      <c r="D40" s="80"/>
      <c r="E40" s="16" t="s">
        <v>26</v>
      </c>
      <c r="F40" s="17">
        <f t="shared" si="7"/>
        <v>35936.33</v>
      </c>
      <c r="G40" s="17"/>
      <c r="H40" s="17"/>
      <c r="I40" s="17"/>
      <c r="J40" s="17"/>
      <c r="K40" s="17"/>
      <c r="L40" s="17"/>
      <c r="M40" s="17">
        <v>5936.33</v>
      </c>
      <c r="N40" s="17">
        <f>SUM(K40:M40)</f>
        <v>5936.33</v>
      </c>
      <c r="O40" s="19"/>
      <c r="P40" s="19">
        <v>30000</v>
      </c>
      <c r="Q40" s="19"/>
      <c r="R40" s="19"/>
      <c r="S40" s="19"/>
      <c r="T40" s="19"/>
      <c r="U40" s="25">
        <f t="shared" si="2"/>
        <v>35936.33</v>
      </c>
      <c r="V40" s="34" t="b">
        <f t="shared" si="3"/>
        <v>1</v>
      </c>
    </row>
    <row r="41" spans="1:22" ht="12.75" hidden="1" customHeight="1" x14ac:dyDescent="0.2">
      <c r="A41" s="16"/>
      <c r="B41" s="83" t="s">
        <v>57</v>
      </c>
      <c r="C41" s="84"/>
      <c r="D41" s="85"/>
      <c r="E41" s="16" t="s">
        <v>26</v>
      </c>
      <c r="F41" s="17">
        <f t="shared" si="7"/>
        <v>0</v>
      </c>
      <c r="G41" s="17"/>
      <c r="H41" s="17"/>
      <c r="I41" s="17"/>
      <c r="J41" s="17"/>
      <c r="K41" s="17"/>
      <c r="L41" s="17"/>
      <c r="M41" s="17"/>
      <c r="N41" s="17"/>
      <c r="O41" s="19"/>
      <c r="P41" s="19"/>
      <c r="Q41" s="19"/>
      <c r="R41" s="19"/>
      <c r="S41" s="19"/>
      <c r="T41" s="19"/>
      <c r="U41" s="25">
        <f t="shared" si="2"/>
        <v>0</v>
      </c>
      <c r="V41" s="1" t="b">
        <f t="shared" si="3"/>
        <v>1</v>
      </c>
    </row>
    <row r="42" spans="1:22" ht="12.75" hidden="1" customHeight="1" x14ac:dyDescent="0.2">
      <c r="A42" s="16"/>
      <c r="B42" s="83" t="s">
        <v>58</v>
      </c>
      <c r="C42" s="84"/>
      <c r="D42" s="85"/>
      <c r="E42" s="16" t="s">
        <v>26</v>
      </c>
      <c r="F42" s="17">
        <f t="shared" si="7"/>
        <v>0</v>
      </c>
      <c r="G42" s="17"/>
      <c r="H42" s="17"/>
      <c r="I42" s="17"/>
      <c r="J42" s="17">
        <f>SUM(G42:I42)</f>
        <v>0</v>
      </c>
      <c r="K42" s="17"/>
      <c r="L42" s="17"/>
      <c r="M42" s="17"/>
      <c r="N42" s="17">
        <f>SUM(K42:M42)</f>
        <v>0</v>
      </c>
      <c r="O42" s="17"/>
      <c r="P42" s="17"/>
      <c r="Q42" s="17"/>
      <c r="R42" s="17"/>
      <c r="S42" s="17"/>
      <c r="T42" s="17"/>
      <c r="U42" s="25">
        <f t="shared" si="2"/>
        <v>0</v>
      </c>
      <c r="V42" s="1" t="b">
        <f t="shared" si="3"/>
        <v>1</v>
      </c>
    </row>
    <row r="43" spans="1:22" x14ac:dyDescent="0.2">
      <c r="A43" s="16"/>
      <c r="B43" s="80" t="s">
        <v>59</v>
      </c>
      <c r="C43" s="80"/>
      <c r="D43" s="80"/>
      <c r="E43" s="16" t="s">
        <v>26</v>
      </c>
      <c r="F43" s="17">
        <f t="shared" ref="F43:T43" si="11">F9+F11-F20</f>
        <v>6518.0899999989197</v>
      </c>
      <c r="G43" s="17">
        <f t="shared" si="11"/>
        <v>15375.559999999998</v>
      </c>
      <c r="H43" s="17">
        <f t="shared" si="11"/>
        <v>20069.579999999958</v>
      </c>
      <c r="I43" s="17">
        <f t="shared" si="11"/>
        <v>18607.979999999981</v>
      </c>
      <c r="J43" s="17">
        <f t="shared" si="11"/>
        <v>38046.959999999963</v>
      </c>
      <c r="K43" s="17">
        <f t="shared" si="11"/>
        <v>3057.8100000000559</v>
      </c>
      <c r="L43" s="17">
        <f t="shared" si="11"/>
        <v>18.350000000093132</v>
      </c>
      <c r="M43" s="17">
        <f t="shared" si="11"/>
        <v>0</v>
      </c>
      <c r="N43" s="17">
        <f t="shared" si="11"/>
        <v>182.02000000001863</v>
      </c>
      <c r="O43" s="17">
        <f t="shared" si="11"/>
        <v>47.729999999981374</v>
      </c>
      <c r="P43" s="17">
        <f t="shared" si="11"/>
        <v>13.929999999993015</v>
      </c>
      <c r="Q43" s="17">
        <f t="shared" si="11"/>
        <v>9647.6699999999837</v>
      </c>
      <c r="R43" s="17">
        <f t="shared" si="11"/>
        <v>11.469999999855645</v>
      </c>
      <c r="S43" s="17">
        <f t="shared" si="11"/>
        <v>117.05999999988126</v>
      </c>
      <c r="T43" s="17">
        <f t="shared" si="11"/>
        <v>6518.0899999999674</v>
      </c>
      <c r="U43" s="25"/>
    </row>
    <row r="44" spans="1:22" s="37" customFormat="1" ht="21.75" customHeight="1" x14ac:dyDescent="0.2">
      <c r="A44" s="35"/>
      <c r="B44" s="26" t="s">
        <v>60</v>
      </c>
      <c r="C44" s="1"/>
      <c r="D44" s="1"/>
      <c r="E44" s="2"/>
      <c r="F44" s="26"/>
      <c r="G44" s="26"/>
      <c r="H44" s="59"/>
      <c r="I44" s="59"/>
      <c r="J44" s="59" t="s">
        <v>61</v>
      </c>
      <c r="K44" s="1"/>
      <c r="L44" s="1"/>
      <c r="M44" s="1"/>
      <c r="N44" s="59"/>
      <c r="O44" s="1"/>
      <c r="P44" s="1"/>
      <c r="Q44" s="1"/>
      <c r="R44" s="1"/>
      <c r="S44" s="1"/>
      <c r="T44" s="1" t="s">
        <v>62</v>
      </c>
      <c r="U44" s="36"/>
    </row>
    <row r="45" spans="1:22" s="37" customFormat="1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35"/>
      <c r="R45" s="35"/>
      <c r="S45" s="35"/>
      <c r="T45" s="35"/>
      <c r="U45" s="36"/>
    </row>
    <row r="46" spans="1:22" s="37" customFormat="1" x14ac:dyDescent="0.2">
      <c r="A46" s="61" t="s">
        <v>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36"/>
    </row>
    <row r="47" spans="1:22" s="37" customFormat="1" x14ac:dyDescent="0.2">
      <c r="A47" s="61" t="s">
        <v>1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38"/>
      <c r="U47" s="36"/>
    </row>
    <row r="48" spans="1:22" s="37" customFormat="1" x14ac:dyDescent="0.2">
      <c r="A48" s="94" t="s">
        <v>2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36"/>
    </row>
    <row r="49" spans="1:24" s="37" customFormat="1" ht="13.5" thickBot="1" x14ac:dyDescent="0.25">
      <c r="A49" s="95"/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39"/>
      <c r="R49" s="39"/>
      <c r="S49" s="39"/>
      <c r="T49" s="39"/>
      <c r="U49" s="36"/>
    </row>
    <row r="50" spans="1:24" ht="13.5" thickBot="1" x14ac:dyDescent="0.25">
      <c r="A50" s="7" t="s">
        <v>3</v>
      </c>
      <c r="B50" s="68"/>
      <c r="C50" s="69"/>
      <c r="D50" s="70"/>
      <c r="E50" s="8" t="s">
        <v>4</v>
      </c>
      <c r="F50" s="40"/>
      <c r="G50" s="65" t="s">
        <v>5</v>
      </c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7"/>
      <c r="U50" s="25"/>
    </row>
    <row r="51" spans="1:24" x14ac:dyDescent="0.2">
      <c r="A51" s="7" t="s">
        <v>6</v>
      </c>
      <c r="B51" s="68" t="s">
        <v>7</v>
      </c>
      <c r="C51" s="69"/>
      <c r="D51" s="70"/>
      <c r="E51" s="8" t="s">
        <v>8</v>
      </c>
      <c r="F51" s="9" t="s">
        <v>9</v>
      </c>
      <c r="G51" s="71" t="s">
        <v>10</v>
      </c>
      <c r="H51" s="71" t="s">
        <v>11</v>
      </c>
      <c r="I51" s="73" t="s">
        <v>12</v>
      </c>
      <c r="J51" s="71" t="s">
        <v>13</v>
      </c>
      <c r="K51" s="71" t="s">
        <v>14</v>
      </c>
      <c r="L51" s="71" t="s">
        <v>15</v>
      </c>
      <c r="M51" s="71" t="s">
        <v>16</v>
      </c>
      <c r="N51" s="97" t="s">
        <v>17</v>
      </c>
      <c r="O51" s="73" t="s">
        <v>18</v>
      </c>
      <c r="P51" s="73" t="s">
        <v>19</v>
      </c>
      <c r="Q51" s="73" t="s">
        <v>20</v>
      </c>
      <c r="R51" s="73" t="s">
        <v>21</v>
      </c>
      <c r="S51" s="73" t="s">
        <v>22</v>
      </c>
      <c r="T51" s="73" t="s">
        <v>23</v>
      </c>
      <c r="U51" s="25"/>
    </row>
    <row r="52" spans="1:24" ht="13.5" thickBot="1" x14ac:dyDescent="0.25">
      <c r="A52" s="10"/>
      <c r="B52" s="76"/>
      <c r="C52" s="77"/>
      <c r="D52" s="78"/>
      <c r="E52" s="11"/>
      <c r="F52" s="41"/>
      <c r="G52" s="72"/>
      <c r="H52" s="72"/>
      <c r="I52" s="74"/>
      <c r="J52" s="72"/>
      <c r="K52" s="72"/>
      <c r="L52" s="72"/>
      <c r="M52" s="72"/>
      <c r="N52" s="72"/>
      <c r="O52" s="98"/>
      <c r="P52" s="75"/>
      <c r="Q52" s="75"/>
      <c r="R52" s="75"/>
      <c r="S52" s="75"/>
      <c r="T52" s="75"/>
      <c r="U52" s="25"/>
    </row>
    <row r="53" spans="1:24" x14ac:dyDescent="0.2">
      <c r="A53" s="16"/>
      <c r="B53" s="81" t="s">
        <v>63</v>
      </c>
      <c r="C53" s="81"/>
      <c r="D53" s="81"/>
      <c r="E53" s="16" t="s">
        <v>26</v>
      </c>
      <c r="F53" s="42"/>
      <c r="G53" s="42"/>
      <c r="H53" s="42"/>
      <c r="I53" s="42"/>
      <c r="J53" s="42"/>
      <c r="K53" s="42"/>
      <c r="L53" s="42"/>
      <c r="M53" s="42"/>
      <c r="N53" s="16"/>
      <c r="O53" s="27"/>
      <c r="P53" s="43"/>
      <c r="Q53" s="43"/>
      <c r="R53" s="43"/>
      <c r="S53" s="43"/>
      <c r="T53" s="43"/>
      <c r="U53" s="25"/>
    </row>
    <row r="54" spans="1:24" x14ac:dyDescent="0.2">
      <c r="A54" s="16"/>
      <c r="B54" s="80" t="s">
        <v>25</v>
      </c>
      <c r="C54" s="80"/>
      <c r="D54" s="80"/>
      <c r="E54" s="16" t="s">
        <v>26</v>
      </c>
      <c r="F54" s="44">
        <v>38</v>
      </c>
      <c r="G54" s="44"/>
      <c r="H54" s="45">
        <f>G99</f>
        <v>0</v>
      </c>
      <c r="I54" s="44">
        <f>H99</f>
        <v>125.05000000010477</v>
      </c>
      <c r="J54" s="44">
        <f>I99</f>
        <v>96.610000000102445</v>
      </c>
      <c r="K54" s="45">
        <f>I99</f>
        <v>96.610000000102445</v>
      </c>
      <c r="L54" s="45">
        <f>K99</f>
        <v>3222.1900000000605</v>
      </c>
      <c r="M54" s="45">
        <f>L99</f>
        <v>148.84000000008382</v>
      </c>
      <c r="N54" s="44">
        <f>K54</f>
        <v>96.610000000102445</v>
      </c>
      <c r="O54" s="44">
        <f>M99</f>
        <v>0</v>
      </c>
      <c r="P54" s="44">
        <f>O99</f>
        <v>286.61000000004424</v>
      </c>
      <c r="Q54" s="44">
        <f>P99</f>
        <v>375.45000000001164</v>
      </c>
      <c r="R54" s="44">
        <f>Q99</f>
        <v>0</v>
      </c>
      <c r="S54" s="44">
        <f>R99</f>
        <v>0</v>
      </c>
      <c r="T54" s="44">
        <f>S99</f>
        <v>4115.6499999999651</v>
      </c>
      <c r="U54" s="25"/>
    </row>
    <row r="55" spans="1:24" x14ac:dyDescent="0.2">
      <c r="A55" s="16"/>
      <c r="B55" s="81"/>
      <c r="C55" s="81"/>
      <c r="D55" s="81"/>
      <c r="E55" s="16" t="s">
        <v>26</v>
      </c>
      <c r="F55" s="42"/>
      <c r="G55" s="42"/>
      <c r="H55" s="42"/>
      <c r="I55" s="42"/>
      <c r="J55" s="42"/>
      <c r="K55" s="42"/>
      <c r="L55" s="42"/>
      <c r="M55" s="42"/>
      <c r="N55" s="42"/>
      <c r="O55" s="46"/>
      <c r="P55" s="47"/>
      <c r="Q55" s="47"/>
      <c r="R55" s="47"/>
      <c r="S55" s="47"/>
      <c r="T55" s="47"/>
      <c r="U55" s="25"/>
    </row>
    <row r="56" spans="1:24" x14ac:dyDescent="0.2">
      <c r="A56" s="23" t="s">
        <v>27</v>
      </c>
      <c r="B56" s="81" t="s">
        <v>28</v>
      </c>
      <c r="C56" s="81"/>
      <c r="D56" s="81"/>
      <c r="E56" s="16" t="s">
        <v>26</v>
      </c>
      <c r="F56" s="47">
        <f>SUM(F58:F61)</f>
        <v>5043134.62</v>
      </c>
      <c r="G56" s="47">
        <f>SUM(G58:G61)</f>
        <v>358266.07</v>
      </c>
      <c r="H56" s="47">
        <f>SUM(H58:H62)</f>
        <v>411238.7</v>
      </c>
      <c r="I56" s="47">
        <f t="shared" ref="I56:T56" si="12">SUM(I58:I62)</f>
        <v>514106.8</v>
      </c>
      <c r="J56" s="47">
        <f t="shared" si="12"/>
        <v>1283611.57</v>
      </c>
      <c r="K56" s="47">
        <f t="shared" si="12"/>
        <v>599014.09</v>
      </c>
      <c r="L56" s="47">
        <f t="shared" si="12"/>
        <v>570085.77</v>
      </c>
      <c r="M56" s="47">
        <f t="shared" si="12"/>
        <v>378210.97</v>
      </c>
      <c r="N56" s="47">
        <f t="shared" si="12"/>
        <v>1547310.83</v>
      </c>
      <c r="O56" s="47">
        <f t="shared" si="12"/>
        <v>269105.03000000003</v>
      </c>
      <c r="P56" s="47">
        <f t="shared" si="12"/>
        <v>293707.67</v>
      </c>
      <c r="Q56" s="47">
        <f t="shared" si="12"/>
        <v>304444.28999999998</v>
      </c>
      <c r="R56" s="47">
        <f>SUM(R58:R62)</f>
        <v>466708.5</v>
      </c>
      <c r="S56" s="47">
        <f t="shared" si="12"/>
        <v>286926.71999999997</v>
      </c>
      <c r="T56" s="47">
        <f t="shared" si="12"/>
        <v>591320.01</v>
      </c>
      <c r="U56" s="48"/>
      <c r="V56" s="48"/>
      <c r="W56" s="48"/>
      <c r="X56" s="37"/>
    </row>
    <row r="57" spans="1:24" x14ac:dyDescent="0.2">
      <c r="A57" s="23"/>
      <c r="B57" s="82" t="s">
        <v>29</v>
      </c>
      <c r="C57" s="82"/>
      <c r="D57" s="82"/>
      <c r="E57" s="16" t="s">
        <v>26</v>
      </c>
      <c r="F57" s="47"/>
      <c r="G57" s="47"/>
      <c r="H57" s="47"/>
      <c r="I57" s="47"/>
      <c r="J57" s="47"/>
      <c r="K57" s="47"/>
      <c r="L57" s="47"/>
      <c r="M57" s="47"/>
      <c r="N57" s="47"/>
      <c r="O57" s="45"/>
      <c r="P57" s="45"/>
      <c r="Q57" s="45"/>
      <c r="R57" s="45"/>
      <c r="S57" s="45"/>
      <c r="T57" s="45"/>
      <c r="U57" s="25"/>
    </row>
    <row r="58" spans="1:24" ht="26.25" customHeight="1" x14ac:dyDescent="0.2">
      <c r="A58" s="16"/>
      <c r="B58" s="80" t="s">
        <v>64</v>
      </c>
      <c r="C58" s="80"/>
      <c r="D58" s="80"/>
      <c r="E58" s="16" t="s">
        <v>26</v>
      </c>
      <c r="F58" s="17">
        <f>G58+H58+I58+K58+L58+M58+O58+P58+Q58+R58+S58+T58</f>
        <v>4612850</v>
      </c>
      <c r="G58" s="44">
        <f>G29</f>
        <v>352400</v>
      </c>
      <c r="H58" s="44">
        <f>H29</f>
        <v>394400</v>
      </c>
      <c r="I58" s="44">
        <f>I29</f>
        <v>463950</v>
      </c>
      <c r="J58" s="44">
        <f>SUM(G58:I58)</f>
        <v>1210750</v>
      </c>
      <c r="K58" s="44">
        <f>K29</f>
        <v>555400</v>
      </c>
      <c r="L58" s="44">
        <f>L29</f>
        <v>530600</v>
      </c>
      <c r="M58" s="44">
        <f>M29</f>
        <v>357100</v>
      </c>
      <c r="N58" s="44">
        <f>SUM(K58:M58)</f>
        <v>1443100</v>
      </c>
      <c r="O58" s="44">
        <f t="shared" ref="O58:T58" si="13">O29</f>
        <v>239900</v>
      </c>
      <c r="P58" s="44">
        <f t="shared" si="13"/>
        <v>263900</v>
      </c>
      <c r="Q58" s="44">
        <f t="shared" si="13"/>
        <v>255700</v>
      </c>
      <c r="R58" s="44">
        <f t="shared" si="13"/>
        <v>440000</v>
      </c>
      <c r="S58" s="44">
        <f t="shared" si="13"/>
        <v>257000</v>
      </c>
      <c r="T58" s="44">
        <f t="shared" si="13"/>
        <v>502500</v>
      </c>
      <c r="U58" s="25">
        <f t="shared" ref="U58:U98" si="14">O58+M58+L58+K58+I58+H58+G58+P58+Q58+R58+S58+T58</f>
        <v>4612850</v>
      </c>
      <c r="V58" s="1" t="b">
        <f t="shared" ref="V58:V98" si="15">U58=F58</f>
        <v>1</v>
      </c>
    </row>
    <row r="59" spans="1:24" ht="22.5" hidden="1" customHeight="1" x14ac:dyDescent="0.2">
      <c r="A59" s="16"/>
      <c r="B59" s="80" t="s">
        <v>64</v>
      </c>
      <c r="C59" s="80"/>
      <c r="D59" s="80"/>
      <c r="E59" s="16" t="s">
        <v>26</v>
      </c>
      <c r="F59" s="17">
        <f>G59+H59+I59+K59+L59+M59+O59+P59+Q59+R59+S59+T59</f>
        <v>0</v>
      </c>
      <c r="G59" s="49"/>
      <c r="H59" s="49"/>
      <c r="I59" s="49"/>
      <c r="J59" s="44">
        <f>SUM(G59:I59)</f>
        <v>0</v>
      </c>
      <c r="K59" s="44"/>
      <c r="L59" s="44"/>
      <c r="M59" s="44"/>
      <c r="N59" s="44">
        <f>SUM(K59:M59)</f>
        <v>0</v>
      </c>
      <c r="O59" s="45"/>
      <c r="P59" s="45"/>
      <c r="Q59" s="45"/>
      <c r="R59" s="45"/>
      <c r="S59" s="45"/>
      <c r="T59" s="45"/>
      <c r="U59" s="25">
        <f t="shared" si="14"/>
        <v>0</v>
      </c>
      <c r="V59" s="1" t="b">
        <f t="shared" si="15"/>
        <v>1</v>
      </c>
    </row>
    <row r="60" spans="1:24" x14ac:dyDescent="0.2">
      <c r="A60" s="16"/>
      <c r="B60" s="80" t="s">
        <v>65</v>
      </c>
      <c r="C60" s="80"/>
      <c r="D60" s="80"/>
      <c r="E60" s="16" t="s">
        <v>26</v>
      </c>
      <c r="F60" s="17">
        <f>G60+H60+I60+K60+L60+M60+O60+P60+Q60+R60+S60+T60</f>
        <v>430284.62</v>
      </c>
      <c r="G60" s="44">
        <v>5866.07</v>
      </c>
      <c r="H60" s="44">
        <v>16838.7</v>
      </c>
      <c r="I60" s="44">
        <f>16484.12+9672.68+24000</f>
        <v>50156.800000000003</v>
      </c>
      <c r="J60" s="44">
        <f>SUM(G60:I60)</f>
        <v>72861.570000000007</v>
      </c>
      <c r="K60" s="44">
        <f>13614.09+30000</f>
        <v>43614.09</v>
      </c>
      <c r="L60" s="44">
        <v>39485.769999999997</v>
      </c>
      <c r="M60" s="44">
        <v>21110.97</v>
      </c>
      <c r="N60" s="44">
        <f>SUM(K60:M60)</f>
        <v>104210.82999999999</v>
      </c>
      <c r="O60" s="45">
        <f>22000+6125.03+1080</f>
        <v>29205.03</v>
      </c>
      <c r="P60" s="45">
        <f>12807.67+17000</f>
        <v>29807.67</v>
      </c>
      <c r="Q60" s="45">
        <f>41000+7744.29</f>
        <v>48744.29</v>
      </c>
      <c r="R60" s="45">
        <f>13012.26+13696.24</f>
        <v>26708.5</v>
      </c>
      <c r="S60" s="45">
        <f>6400+19517.22+4009.5</f>
        <v>29926.720000000001</v>
      </c>
      <c r="T60" s="45">
        <f>45420.01+43400</f>
        <v>88820.010000000009</v>
      </c>
      <c r="U60" s="25">
        <f t="shared" si="14"/>
        <v>430284.62</v>
      </c>
      <c r="V60" s="1" t="b">
        <f t="shared" si="15"/>
        <v>1</v>
      </c>
    </row>
    <row r="61" spans="1:24" ht="12.75" customHeight="1" x14ac:dyDescent="0.2">
      <c r="A61" s="16"/>
      <c r="B61" s="83" t="s">
        <v>66</v>
      </c>
      <c r="C61" s="84"/>
      <c r="D61" s="85"/>
      <c r="E61" s="16" t="s">
        <v>26</v>
      </c>
      <c r="F61" s="17"/>
      <c r="G61" s="27"/>
      <c r="H61" s="27"/>
      <c r="I61" s="27"/>
      <c r="J61" s="44">
        <f>SUM(G61:I61)</f>
        <v>0</v>
      </c>
      <c r="K61" s="27"/>
      <c r="L61" s="45"/>
      <c r="M61" s="27"/>
      <c r="N61" s="44">
        <f>SUM(K61:M61)</f>
        <v>0</v>
      </c>
      <c r="O61" s="50"/>
      <c r="P61" s="44"/>
      <c r="Q61" s="47"/>
      <c r="R61" s="47"/>
      <c r="S61" s="44"/>
      <c r="T61" s="44"/>
      <c r="U61" s="25">
        <f t="shared" si="14"/>
        <v>0</v>
      </c>
      <c r="V61" s="1" t="b">
        <f t="shared" si="15"/>
        <v>1</v>
      </c>
    </row>
    <row r="62" spans="1:24" ht="12.75" hidden="1" customHeight="1" x14ac:dyDescent="0.2">
      <c r="A62" s="16"/>
      <c r="B62" s="83" t="s">
        <v>67</v>
      </c>
      <c r="C62" s="84"/>
      <c r="D62" s="85"/>
      <c r="E62" s="16" t="s">
        <v>26</v>
      </c>
      <c r="F62" s="17"/>
      <c r="G62" s="45"/>
      <c r="H62" s="27"/>
      <c r="I62" s="45"/>
      <c r="J62" s="44"/>
      <c r="K62" s="45"/>
      <c r="L62" s="45"/>
      <c r="M62" s="27"/>
      <c r="N62" s="44"/>
      <c r="O62" s="50"/>
      <c r="P62" s="44"/>
      <c r="Q62" s="47"/>
      <c r="R62" s="44"/>
      <c r="S62" s="44"/>
      <c r="T62" s="44"/>
      <c r="U62" s="25"/>
    </row>
    <row r="63" spans="1:24" ht="12.75" customHeight="1" x14ac:dyDescent="0.2">
      <c r="A63" s="23" t="s">
        <v>37</v>
      </c>
      <c r="B63" s="88" t="s">
        <v>38</v>
      </c>
      <c r="C63" s="89"/>
      <c r="D63" s="90"/>
      <c r="E63" s="16" t="s">
        <v>26</v>
      </c>
      <c r="F63" s="47">
        <f t="shared" ref="F63:P63" si="16">SUM(F65:F67)</f>
        <v>5043134.620000001</v>
      </c>
      <c r="G63" s="47">
        <f t="shared" si="16"/>
        <v>358266.07</v>
      </c>
      <c r="H63" s="47">
        <f t="shared" si="16"/>
        <v>411113.64999999991</v>
      </c>
      <c r="I63" s="47">
        <f t="shared" si="16"/>
        <v>514135.24</v>
      </c>
      <c r="J63" s="47">
        <f t="shared" si="16"/>
        <v>962917.44000000018</v>
      </c>
      <c r="K63" s="47">
        <f t="shared" si="16"/>
        <v>595888.51</v>
      </c>
      <c r="L63" s="47">
        <f t="shared" si="16"/>
        <v>573159.12</v>
      </c>
      <c r="M63" s="47">
        <f t="shared" si="16"/>
        <v>378359.81</v>
      </c>
      <c r="N63" s="47">
        <f t="shared" si="16"/>
        <v>582116.89</v>
      </c>
      <c r="O63" s="47">
        <f t="shared" si="16"/>
        <v>268818.42</v>
      </c>
      <c r="P63" s="47">
        <f t="shared" si="16"/>
        <v>293618.83</v>
      </c>
      <c r="Q63" s="47">
        <f>SUM(Q65:Q67)</f>
        <v>304819.74000000005</v>
      </c>
      <c r="R63" s="47">
        <f>SUM(R65:R67)</f>
        <v>466708.50000000012</v>
      </c>
      <c r="S63" s="47">
        <f>SUM(S65:S67)</f>
        <v>282811.07</v>
      </c>
      <c r="T63" s="47">
        <f>SUM(T65:T67)</f>
        <v>595435.66</v>
      </c>
      <c r="U63" s="25">
        <f t="shared" si="14"/>
        <v>5043134.62</v>
      </c>
      <c r="V63" s="1" t="b">
        <f t="shared" si="15"/>
        <v>1</v>
      </c>
    </row>
    <row r="64" spans="1:24" ht="11.25" customHeight="1" x14ac:dyDescent="0.2">
      <c r="A64" s="23"/>
      <c r="B64" s="86" t="s">
        <v>29</v>
      </c>
      <c r="C64" s="86"/>
      <c r="D64" s="86"/>
      <c r="E64" s="16" t="s">
        <v>26</v>
      </c>
      <c r="F64" s="44"/>
      <c r="G64" s="51"/>
      <c r="H64" s="51"/>
      <c r="I64" s="51"/>
      <c r="J64" s="51"/>
      <c r="K64" s="51"/>
      <c r="L64" s="51"/>
      <c r="M64" s="51"/>
      <c r="N64" s="51"/>
      <c r="O64" s="45"/>
      <c r="P64" s="45"/>
      <c r="Q64" s="45"/>
      <c r="R64" s="45"/>
      <c r="S64" s="45"/>
      <c r="T64" s="45"/>
      <c r="U64" s="25"/>
    </row>
    <row r="65" spans="1:23" ht="15" customHeight="1" x14ac:dyDescent="0.2">
      <c r="A65" s="16"/>
      <c r="B65" s="80" t="s">
        <v>68</v>
      </c>
      <c r="C65" s="80"/>
      <c r="D65" s="80"/>
      <c r="E65" s="16" t="s">
        <v>26</v>
      </c>
      <c r="F65" s="17">
        <f t="shared" ref="F65:F98" si="17">G65+H65+I65+K65+L65+M65+O65+P65+Q65+R65+S65+T65</f>
        <v>440557.75</v>
      </c>
      <c r="G65" s="44">
        <f>16898+33625.86</f>
        <v>50523.86</v>
      </c>
      <c r="H65" s="44">
        <f>11112.59+28807.51</f>
        <v>39920.1</v>
      </c>
      <c r="I65" s="44">
        <f>19171.53+12085</f>
        <v>31256.53</v>
      </c>
      <c r="J65" s="44">
        <f>SUM(G65:I65)</f>
        <v>121700.48999999999</v>
      </c>
      <c r="K65" s="44">
        <f>14042.41+22098.82</f>
        <v>36141.229999999996</v>
      </c>
      <c r="L65" s="44">
        <f>10325+16915.46</f>
        <v>27240.46</v>
      </c>
      <c r="M65" s="44">
        <f>13318+21669.47</f>
        <v>34987.47</v>
      </c>
      <c r="N65" s="44">
        <f>SUM(K65:M65)</f>
        <v>98369.16</v>
      </c>
      <c r="O65" s="27">
        <f>15581+20757.42</f>
        <v>36338.42</v>
      </c>
      <c r="P65" s="27">
        <f>14240+22293.9</f>
        <v>36533.9</v>
      </c>
      <c r="Q65" s="45">
        <f>12212+24734.26</f>
        <v>36946.259999999995</v>
      </c>
      <c r="R65" s="45">
        <f>11801+18724.64</f>
        <v>30525.64</v>
      </c>
      <c r="S65" s="45">
        <f>11076+17898.26</f>
        <v>28974.26</v>
      </c>
      <c r="T65" s="45">
        <f>19443+31726.62</f>
        <v>51169.619999999995</v>
      </c>
      <c r="U65" s="25">
        <f t="shared" si="14"/>
        <v>440557.75000000006</v>
      </c>
      <c r="V65" s="1" t="b">
        <f t="shared" si="15"/>
        <v>1</v>
      </c>
    </row>
    <row r="66" spans="1:23" ht="12.75" customHeight="1" x14ac:dyDescent="0.2">
      <c r="A66" s="16"/>
      <c r="B66" s="80" t="s">
        <v>69</v>
      </c>
      <c r="C66" s="80"/>
      <c r="D66" s="80"/>
      <c r="E66" s="16" t="s">
        <v>26</v>
      </c>
      <c r="F66" s="17">
        <f t="shared" si="17"/>
        <v>2627.16</v>
      </c>
      <c r="G66" s="44">
        <v>155.88999999999999</v>
      </c>
      <c r="H66" s="44">
        <v>267.64</v>
      </c>
      <c r="I66" s="44">
        <v>280</v>
      </c>
      <c r="J66" s="44">
        <f>SUM(G66:I66)</f>
        <v>703.53</v>
      </c>
      <c r="K66" s="44">
        <v>260</v>
      </c>
      <c r="L66" s="44">
        <v>239</v>
      </c>
      <c r="M66" s="44">
        <v>285.93</v>
      </c>
      <c r="N66" s="44">
        <f>SUM(K66:M66)</f>
        <v>784.93000000000006</v>
      </c>
      <c r="O66" s="44">
        <v>222.07</v>
      </c>
      <c r="P66" s="17">
        <v>187</v>
      </c>
      <c r="Q66" s="17">
        <v>192.28</v>
      </c>
      <c r="R66" s="17">
        <v>50.93</v>
      </c>
      <c r="S66" s="17">
        <v>430.79</v>
      </c>
      <c r="T66" s="17">
        <v>55.63</v>
      </c>
      <c r="U66" s="25">
        <f t="shared" si="14"/>
        <v>2627.16</v>
      </c>
      <c r="V66" s="1" t="b">
        <f t="shared" si="15"/>
        <v>1</v>
      </c>
    </row>
    <row r="67" spans="1:23" ht="12.75" customHeight="1" x14ac:dyDescent="0.2">
      <c r="A67" s="16"/>
      <c r="B67" s="80" t="s">
        <v>70</v>
      </c>
      <c r="C67" s="80"/>
      <c r="D67" s="80"/>
      <c r="E67" s="16" t="s">
        <v>26</v>
      </c>
      <c r="F67" s="17">
        <f t="shared" si="17"/>
        <v>4599949.7100000009</v>
      </c>
      <c r="G67" s="44">
        <f t="shared" ref="G67:K67" si="18">SUM(G68:G73,G76:G98)</f>
        <v>307586.32</v>
      </c>
      <c r="H67" s="44">
        <f t="shared" si="18"/>
        <v>370925.90999999992</v>
      </c>
      <c r="I67" s="44">
        <f t="shared" si="18"/>
        <v>482598.70999999996</v>
      </c>
      <c r="J67" s="44">
        <f t="shared" si="18"/>
        <v>840513.42000000016</v>
      </c>
      <c r="K67" s="44">
        <f t="shared" si="18"/>
        <v>559487.28</v>
      </c>
      <c r="L67" s="44">
        <f t="shared" ref="L67:S67" si="19">SUM(L68:L98)</f>
        <v>545679.66</v>
      </c>
      <c r="M67" s="44">
        <f t="shared" si="19"/>
        <v>343086.41</v>
      </c>
      <c r="N67" s="44">
        <f t="shared" si="19"/>
        <v>482962.80000000005</v>
      </c>
      <c r="O67" s="44">
        <f t="shared" si="19"/>
        <v>232257.93</v>
      </c>
      <c r="P67" s="17">
        <f t="shared" si="19"/>
        <v>256897.93000000002</v>
      </c>
      <c r="Q67" s="17">
        <f t="shared" si="19"/>
        <v>267681.20000000007</v>
      </c>
      <c r="R67" s="17">
        <f t="shared" si="19"/>
        <v>436131.93000000011</v>
      </c>
      <c r="S67" s="17">
        <f t="shared" si="19"/>
        <v>253406.02000000002</v>
      </c>
      <c r="T67" s="17">
        <f>SUM(T70:T98,T69)</f>
        <v>544210.41</v>
      </c>
      <c r="U67" s="25">
        <f t="shared" si="14"/>
        <v>4599949.7100000009</v>
      </c>
      <c r="V67" s="1" t="b">
        <f t="shared" si="15"/>
        <v>1</v>
      </c>
    </row>
    <row r="68" spans="1:23" x14ac:dyDescent="0.2">
      <c r="A68" s="16"/>
      <c r="B68" s="80" t="s">
        <v>71</v>
      </c>
      <c r="C68" s="80"/>
      <c r="D68" s="80"/>
      <c r="E68" s="16" t="s">
        <v>26</v>
      </c>
      <c r="F68" s="17"/>
      <c r="G68" s="44"/>
      <c r="H68" s="44"/>
      <c r="I68" s="44"/>
      <c r="J68" s="44"/>
      <c r="K68" s="44"/>
      <c r="L68" s="44"/>
      <c r="M68" s="44"/>
      <c r="N68" s="44"/>
      <c r="O68" s="45"/>
      <c r="P68" s="17"/>
      <c r="Q68" s="17"/>
      <c r="R68" s="17"/>
      <c r="S68" s="17"/>
      <c r="T68" s="17"/>
      <c r="U68" s="25">
        <f>O68+M68+L68+K68+I68+H68+G68+P68+Q68+R68+S68+T68</f>
        <v>0</v>
      </c>
      <c r="V68" s="1" t="b">
        <f>U68=F68</f>
        <v>1</v>
      </c>
    </row>
    <row r="69" spans="1:23" hidden="1" x14ac:dyDescent="0.2">
      <c r="A69" s="16"/>
      <c r="B69" s="80" t="s">
        <v>72</v>
      </c>
      <c r="C69" s="80"/>
      <c r="D69" s="80"/>
      <c r="E69" s="16"/>
      <c r="F69" s="17">
        <f t="shared" si="17"/>
        <v>0</v>
      </c>
      <c r="G69" s="44"/>
      <c r="H69" s="44"/>
      <c r="I69" s="44"/>
      <c r="J69" s="44"/>
      <c r="K69" s="44"/>
      <c r="L69" s="44"/>
      <c r="M69" s="44"/>
      <c r="N69" s="44"/>
      <c r="O69" s="45"/>
      <c r="P69" s="17"/>
      <c r="Q69" s="17"/>
      <c r="R69" s="17"/>
      <c r="S69" s="17"/>
      <c r="T69" s="17"/>
      <c r="U69" s="25">
        <f>O69+M69+L69+K69+I69+H69+G69+P69+Q69+R69+S69+T69</f>
        <v>0</v>
      </c>
      <c r="V69" s="1" t="b">
        <f>U69=F69</f>
        <v>1</v>
      </c>
    </row>
    <row r="70" spans="1:23" ht="12.75" customHeight="1" x14ac:dyDescent="0.2">
      <c r="A70" s="16"/>
      <c r="B70" s="80" t="s">
        <v>73</v>
      </c>
      <c r="C70" s="80"/>
      <c r="D70" s="80"/>
      <c r="E70" s="16" t="s">
        <v>26</v>
      </c>
      <c r="F70" s="17">
        <f t="shared" si="17"/>
        <v>828245.78</v>
      </c>
      <c r="G70" s="44">
        <f>100000+50000</f>
        <v>150000</v>
      </c>
      <c r="H70" s="44">
        <f>155000+70000</f>
        <v>225000</v>
      </c>
      <c r="I70" s="44">
        <v>50000</v>
      </c>
      <c r="J70" s="44">
        <f t="shared" ref="J70:J98" si="20">SUM(G70:I70)</f>
        <v>425000</v>
      </c>
      <c r="K70" s="44">
        <f>150000+100000</f>
        <v>250000</v>
      </c>
      <c r="L70" s="44">
        <f>26159</f>
        <v>26159</v>
      </c>
      <c r="M70" s="44"/>
      <c r="N70" s="44">
        <f t="shared" ref="N70:N98" si="21">SUM(K70:M70)</f>
        <v>276159</v>
      </c>
      <c r="O70" s="45"/>
      <c r="P70" s="17"/>
      <c r="Q70" s="17"/>
      <c r="R70" s="17">
        <f>47086.78</f>
        <v>47086.78</v>
      </c>
      <c r="S70" s="17">
        <f>80000</f>
        <v>80000</v>
      </c>
      <c r="T70" s="17"/>
      <c r="U70" s="25">
        <f t="shared" si="14"/>
        <v>828245.78</v>
      </c>
      <c r="V70" s="1" t="b">
        <f t="shared" si="15"/>
        <v>1</v>
      </c>
    </row>
    <row r="71" spans="1:23" ht="12.75" customHeight="1" x14ac:dyDescent="0.2">
      <c r="A71" s="16"/>
      <c r="B71" s="80" t="s">
        <v>74</v>
      </c>
      <c r="C71" s="80"/>
      <c r="D71" s="80"/>
      <c r="E71" s="16" t="s">
        <v>26</v>
      </c>
      <c r="F71" s="17">
        <f t="shared" si="17"/>
        <v>2285296.1800000002</v>
      </c>
      <c r="G71" s="44"/>
      <c r="H71" s="44">
        <v>23497.52</v>
      </c>
      <c r="I71" s="44">
        <f>50000+88000+70000+50000+35400</f>
        <v>293400</v>
      </c>
      <c r="J71" s="44"/>
      <c r="K71" s="44">
        <f>77000+32132.1+24300+100000</f>
        <v>233432.1</v>
      </c>
      <c r="L71" s="44">
        <f>65000+80000+95000+55000+100000</f>
        <v>395000</v>
      </c>
      <c r="M71" s="44">
        <f>50000+50000+65000+26159.32</f>
        <v>191159.32</v>
      </c>
      <c r="N71" s="44"/>
      <c r="O71" s="45">
        <f>35000+17500+70000</f>
        <v>122500</v>
      </c>
      <c r="P71" s="17">
        <f>50000+50000+40000</f>
        <v>140000</v>
      </c>
      <c r="Q71" s="17">
        <f>50000+30000+70000</f>
        <v>150000</v>
      </c>
      <c r="R71" s="17">
        <f>20000+36500+100000+30000+70000+50000</f>
        <v>306500</v>
      </c>
      <c r="S71" s="17">
        <f>15000+50000</f>
        <v>65000</v>
      </c>
      <c r="T71" s="17">
        <f>44020.04+25000+55000+93793.99+56993.21+90000</f>
        <v>364807.24000000005</v>
      </c>
      <c r="U71" s="25">
        <f>O71+M71+L71+K71+I71+H71+G71+P71+Q71+R71+S71+T71</f>
        <v>2285296.1800000002</v>
      </c>
      <c r="V71" s="1" t="b">
        <f>U71=F71</f>
        <v>1</v>
      </c>
    </row>
    <row r="72" spans="1:23" ht="12.75" customHeight="1" x14ac:dyDescent="0.2">
      <c r="A72" s="16"/>
      <c r="B72" s="80" t="s">
        <v>75</v>
      </c>
      <c r="C72" s="80"/>
      <c r="D72" s="80"/>
      <c r="E72" s="16" t="s">
        <v>26</v>
      </c>
      <c r="F72" s="17">
        <f t="shared" si="17"/>
        <v>178930.2</v>
      </c>
      <c r="G72" s="44">
        <v>84870.63</v>
      </c>
      <c r="H72" s="44">
        <f>23196.34</f>
        <v>23196.34</v>
      </c>
      <c r="I72" s="44">
        <v>52017.54</v>
      </c>
      <c r="J72" s="44">
        <f t="shared" si="20"/>
        <v>160084.51</v>
      </c>
      <c r="K72" s="49"/>
      <c r="L72" s="49"/>
      <c r="M72" s="44">
        <f>7313.65+11532.04</f>
        <v>18845.690000000002</v>
      </c>
      <c r="N72" s="44">
        <f t="shared" si="21"/>
        <v>18845.690000000002</v>
      </c>
      <c r="O72" s="45"/>
      <c r="P72" s="17"/>
      <c r="Q72" s="17"/>
      <c r="R72" s="17"/>
      <c r="S72" s="17"/>
      <c r="T72" s="17"/>
      <c r="U72" s="25">
        <f t="shared" si="14"/>
        <v>178930.2</v>
      </c>
      <c r="V72" s="1" t="b">
        <f t="shared" si="15"/>
        <v>1</v>
      </c>
      <c r="W72" s="25">
        <f>U72-G72</f>
        <v>94059.57</v>
      </c>
    </row>
    <row r="73" spans="1:23" ht="12.75" customHeight="1" x14ac:dyDescent="0.2">
      <c r="A73" s="16"/>
      <c r="B73" s="80" t="s">
        <v>76</v>
      </c>
      <c r="C73" s="80"/>
      <c r="D73" s="80"/>
      <c r="E73" s="16" t="s">
        <v>26</v>
      </c>
      <c r="F73" s="17"/>
      <c r="G73" s="44"/>
      <c r="H73" s="44"/>
      <c r="I73" s="44"/>
      <c r="J73" s="44"/>
      <c r="K73" s="44"/>
      <c r="L73" s="44"/>
      <c r="M73" s="44"/>
      <c r="N73" s="44"/>
      <c r="O73" s="45"/>
      <c r="P73" s="17"/>
      <c r="Q73" s="17"/>
      <c r="R73" s="17"/>
      <c r="S73" s="17"/>
      <c r="T73" s="17"/>
      <c r="U73" s="25">
        <f>O73+M73+L73+K73+I73+H73+G73+P73+Q73+R73+S73+T73</f>
        <v>0</v>
      </c>
      <c r="V73" s="1" t="b">
        <f>U73=F73</f>
        <v>1</v>
      </c>
      <c r="W73" s="25"/>
    </row>
    <row r="74" spans="1:23" ht="12.75" customHeight="1" x14ac:dyDescent="0.2">
      <c r="A74" s="16"/>
      <c r="B74" s="99" t="s">
        <v>77</v>
      </c>
      <c r="C74" s="100"/>
      <c r="D74" s="101"/>
      <c r="E74" s="16" t="s">
        <v>26</v>
      </c>
      <c r="F74" s="17">
        <f t="shared" si="17"/>
        <v>379653.48000000004</v>
      </c>
      <c r="G74" s="44"/>
      <c r="H74" s="44"/>
      <c r="I74" s="44"/>
      <c r="J74" s="44"/>
      <c r="K74" s="49"/>
      <c r="L74" s="49">
        <v>49298.74</v>
      </c>
      <c r="M74" s="44">
        <f>46104.36</f>
        <v>46104.36</v>
      </c>
      <c r="N74" s="44"/>
      <c r="O74" s="45">
        <f>38758.34</f>
        <v>38758.339999999997</v>
      </c>
      <c r="P74" s="17">
        <f>30000+33664.79</f>
        <v>63664.79</v>
      </c>
      <c r="Q74" s="17">
        <f>20000+28564.79</f>
        <v>48564.79</v>
      </c>
      <c r="R74" s="17">
        <f>20804.09</f>
        <v>20804.09</v>
      </c>
      <c r="S74" s="17">
        <f>30000</f>
        <v>30000</v>
      </c>
      <c r="T74" s="17">
        <f>28000+54458.37</f>
        <v>82458.37</v>
      </c>
      <c r="U74" s="25">
        <f>O74+M74+L74+K74+I74+H74+G74+P74+Q74+R74+S74+T74</f>
        <v>379653.48000000004</v>
      </c>
      <c r="V74" s="1" t="b">
        <f>U74=F74</f>
        <v>1</v>
      </c>
      <c r="W74" s="25"/>
    </row>
    <row r="75" spans="1:23" ht="12.75" hidden="1" customHeight="1" x14ac:dyDescent="0.2">
      <c r="A75" s="16"/>
      <c r="B75" s="99" t="s">
        <v>78</v>
      </c>
      <c r="C75" s="100"/>
      <c r="D75" s="101"/>
      <c r="E75" s="16" t="s">
        <v>26</v>
      </c>
      <c r="F75" s="17">
        <f t="shared" si="17"/>
        <v>0</v>
      </c>
      <c r="G75" s="44"/>
      <c r="H75" s="44"/>
      <c r="I75" s="44"/>
      <c r="J75" s="44"/>
      <c r="K75" s="49"/>
      <c r="L75" s="49"/>
      <c r="M75" s="44"/>
      <c r="N75" s="44"/>
      <c r="O75" s="45"/>
      <c r="P75" s="17"/>
      <c r="Q75" s="17"/>
      <c r="R75" s="17"/>
      <c r="S75" s="17"/>
      <c r="T75" s="17"/>
      <c r="U75" s="25">
        <f>O75+M75+L75+K75+I75+H75+G75+P75+Q75+R75+S75+T75</f>
        <v>0</v>
      </c>
      <c r="V75" s="1" t="b">
        <f>U75=F75</f>
        <v>1</v>
      </c>
      <c r="W75" s="25"/>
    </row>
    <row r="76" spans="1:23" ht="12.75" customHeight="1" x14ac:dyDescent="0.2">
      <c r="A76" s="16"/>
      <c r="B76" s="80" t="s">
        <v>79</v>
      </c>
      <c r="C76" s="80"/>
      <c r="D76" s="80"/>
      <c r="E76" s="16" t="s">
        <v>26</v>
      </c>
      <c r="F76" s="17">
        <f t="shared" si="17"/>
        <v>7364.7</v>
      </c>
      <c r="G76" s="44"/>
      <c r="H76" s="44"/>
      <c r="I76" s="44">
        <f>611.3</f>
        <v>611.29999999999995</v>
      </c>
      <c r="J76" s="44">
        <f t="shared" si="20"/>
        <v>611.29999999999995</v>
      </c>
      <c r="K76" s="44"/>
      <c r="L76" s="44"/>
      <c r="M76" s="44">
        <f>1521.82</f>
        <v>1521.82</v>
      </c>
      <c r="N76" s="44">
        <f t="shared" si="21"/>
        <v>1521.82</v>
      </c>
      <c r="O76" s="45"/>
      <c r="P76" s="17"/>
      <c r="Q76" s="17">
        <f>1521.82</f>
        <v>1521.82</v>
      </c>
      <c r="R76" s="17"/>
      <c r="S76" s="17"/>
      <c r="T76" s="17">
        <f>1521.82+1521.81+611.33+54.8</f>
        <v>3709.76</v>
      </c>
      <c r="U76" s="25">
        <f t="shared" si="14"/>
        <v>7364.7</v>
      </c>
      <c r="V76" s="1" t="b">
        <f t="shared" si="15"/>
        <v>1</v>
      </c>
    </row>
    <row r="77" spans="1:23" ht="12.75" customHeight="1" x14ac:dyDescent="0.2">
      <c r="A77" s="16"/>
      <c r="B77" s="80" t="s">
        <v>80</v>
      </c>
      <c r="C77" s="80"/>
      <c r="D77" s="80"/>
      <c r="E77" s="16" t="s">
        <v>26</v>
      </c>
      <c r="F77" s="17">
        <f t="shared" si="17"/>
        <v>4445</v>
      </c>
      <c r="G77" s="44"/>
      <c r="H77" s="44">
        <f>2000</f>
        <v>2000</v>
      </c>
      <c r="I77" s="44"/>
      <c r="J77" s="44">
        <f t="shared" si="20"/>
        <v>2000</v>
      </c>
      <c r="K77" s="44"/>
      <c r="L77" s="44"/>
      <c r="M77" s="44"/>
      <c r="N77" s="44">
        <f t="shared" si="21"/>
        <v>0</v>
      </c>
      <c r="O77" s="45"/>
      <c r="P77" s="17"/>
      <c r="Q77" s="17">
        <f>1045</f>
        <v>1045</v>
      </c>
      <c r="R77" s="17"/>
      <c r="S77" s="17"/>
      <c r="T77" s="17">
        <f>700+700</f>
        <v>1400</v>
      </c>
      <c r="U77" s="25">
        <f t="shared" si="14"/>
        <v>4445</v>
      </c>
      <c r="V77" s="1" t="b">
        <f t="shared" si="15"/>
        <v>1</v>
      </c>
    </row>
    <row r="78" spans="1:23" ht="12.75" customHeight="1" x14ac:dyDescent="0.2">
      <c r="A78" s="16"/>
      <c r="B78" s="80" t="s">
        <v>81</v>
      </c>
      <c r="C78" s="80"/>
      <c r="D78" s="80"/>
      <c r="E78" s="16" t="s">
        <v>26</v>
      </c>
      <c r="F78" s="17">
        <f t="shared" si="17"/>
        <v>47878</v>
      </c>
      <c r="G78" s="44"/>
      <c r="H78" s="44">
        <f>4159.5</f>
        <v>4159.5</v>
      </c>
      <c r="I78" s="44">
        <f>4159.5</f>
        <v>4159.5</v>
      </c>
      <c r="J78" s="44">
        <f t="shared" si="20"/>
        <v>8319</v>
      </c>
      <c r="K78" s="44">
        <f>4248</f>
        <v>4248</v>
      </c>
      <c r="L78" s="44">
        <f>4425</f>
        <v>4425</v>
      </c>
      <c r="M78" s="44">
        <v>4159</v>
      </c>
      <c r="N78" s="44">
        <f t="shared" si="21"/>
        <v>12832</v>
      </c>
      <c r="O78" s="45">
        <f>4336.5</f>
        <v>4336.5</v>
      </c>
      <c r="P78" s="17">
        <f>4336.5</f>
        <v>4336.5</v>
      </c>
      <c r="Q78" s="17">
        <f>4690.5</f>
        <v>4690.5</v>
      </c>
      <c r="R78" s="17"/>
      <c r="S78" s="17">
        <v>4425</v>
      </c>
      <c r="T78" s="17">
        <f>4425+4513.5</f>
        <v>8938.5</v>
      </c>
      <c r="U78" s="25">
        <f t="shared" si="14"/>
        <v>47878</v>
      </c>
      <c r="V78" s="1" t="b">
        <f t="shared" si="15"/>
        <v>1</v>
      </c>
    </row>
    <row r="79" spans="1:23" ht="12.75" customHeight="1" x14ac:dyDescent="0.2">
      <c r="A79" s="16"/>
      <c r="B79" s="80" t="s">
        <v>82</v>
      </c>
      <c r="C79" s="80"/>
      <c r="D79" s="80"/>
      <c r="E79" s="16" t="s">
        <v>26</v>
      </c>
      <c r="F79" s="17">
        <f t="shared" si="17"/>
        <v>3794</v>
      </c>
      <c r="G79" s="44"/>
      <c r="H79" s="44"/>
      <c r="I79" s="44"/>
      <c r="J79" s="44">
        <f t="shared" si="20"/>
        <v>0</v>
      </c>
      <c r="K79" s="44"/>
      <c r="L79" s="44"/>
      <c r="M79" s="44"/>
      <c r="N79" s="44">
        <f t="shared" si="21"/>
        <v>0</v>
      </c>
      <c r="O79" s="45"/>
      <c r="P79" s="17"/>
      <c r="Q79" s="17"/>
      <c r="R79" s="17"/>
      <c r="S79" s="17"/>
      <c r="T79" s="17">
        <v>3794</v>
      </c>
      <c r="U79" s="25">
        <f t="shared" si="14"/>
        <v>3794</v>
      </c>
      <c r="V79" s="1" t="b">
        <f t="shared" si="15"/>
        <v>1</v>
      </c>
    </row>
    <row r="80" spans="1:23" ht="12.75" customHeight="1" x14ac:dyDescent="0.2">
      <c r="A80" s="16"/>
      <c r="B80" s="80" t="s">
        <v>83</v>
      </c>
      <c r="C80" s="80"/>
      <c r="D80" s="80"/>
      <c r="E80" s="16" t="s">
        <v>26</v>
      </c>
      <c r="F80" s="17">
        <f t="shared" si="17"/>
        <v>500</v>
      </c>
      <c r="G80" s="44"/>
      <c r="H80" s="44"/>
      <c r="I80" s="44"/>
      <c r="J80" s="44">
        <f t="shared" si="20"/>
        <v>0</v>
      </c>
      <c r="K80" s="44">
        <f>500</f>
        <v>500</v>
      </c>
      <c r="L80" s="44"/>
      <c r="M80" s="44"/>
      <c r="N80" s="44">
        <f t="shared" si="21"/>
        <v>500</v>
      </c>
      <c r="O80" s="45"/>
      <c r="P80" s="17"/>
      <c r="Q80" s="17"/>
      <c r="R80" s="17"/>
      <c r="S80" s="17"/>
      <c r="T80" s="17"/>
      <c r="U80" s="25">
        <f t="shared" si="14"/>
        <v>500</v>
      </c>
      <c r="V80" s="1" t="b">
        <f t="shared" si="15"/>
        <v>1</v>
      </c>
    </row>
    <row r="81" spans="1:22" x14ac:dyDescent="0.2">
      <c r="A81" s="16"/>
      <c r="B81" s="15" t="s">
        <v>84</v>
      </c>
      <c r="C81" s="15"/>
      <c r="D81" s="15"/>
      <c r="E81" s="16" t="s">
        <v>26</v>
      </c>
      <c r="F81" s="17">
        <f t="shared" si="17"/>
        <v>568236.62</v>
      </c>
      <c r="G81" s="44">
        <f>47353.38</f>
        <v>47353.38</v>
      </c>
      <c r="H81" s="44">
        <f>51092.47</f>
        <v>51092.47</v>
      </c>
      <c r="I81" s="44">
        <v>51967.45</v>
      </c>
      <c r="J81" s="44">
        <f t="shared" si="20"/>
        <v>150413.29999999999</v>
      </c>
      <c r="K81" s="44">
        <f>43813.71</f>
        <v>43813.71</v>
      </c>
      <c r="L81" s="44">
        <v>45895.05</v>
      </c>
      <c r="M81" s="44">
        <v>38601.54</v>
      </c>
      <c r="N81" s="44">
        <f t="shared" si="21"/>
        <v>128310.30000000002</v>
      </c>
      <c r="O81" s="45">
        <f>4614.07+45577.56</f>
        <v>50191.63</v>
      </c>
      <c r="P81" s="17">
        <f>43200.47</f>
        <v>43200.47</v>
      </c>
      <c r="Q81" s="17">
        <f>46542.24</f>
        <v>46542.239999999998</v>
      </c>
      <c r="R81" s="17">
        <f>46578.46+0.06</f>
        <v>46578.52</v>
      </c>
      <c r="S81" s="17">
        <f>51028.63+0.06</f>
        <v>51028.689999999995</v>
      </c>
      <c r="T81" s="17">
        <f>51971.41+0.06</f>
        <v>51971.47</v>
      </c>
      <c r="U81" s="25">
        <f t="shared" si="14"/>
        <v>568236.62</v>
      </c>
      <c r="V81" s="1" t="b">
        <f t="shared" si="15"/>
        <v>1</v>
      </c>
    </row>
    <row r="82" spans="1:22" ht="12.75" customHeight="1" x14ac:dyDescent="0.2">
      <c r="A82" s="16"/>
      <c r="B82" s="80" t="s">
        <v>85</v>
      </c>
      <c r="C82" s="80"/>
      <c r="D82" s="80"/>
      <c r="E82" s="16" t="s">
        <v>26</v>
      </c>
      <c r="F82" s="17">
        <f t="shared" si="17"/>
        <v>6689.45</v>
      </c>
      <c r="G82" s="44"/>
      <c r="H82" s="44"/>
      <c r="I82" s="44"/>
      <c r="J82" s="44">
        <f t="shared" si="20"/>
        <v>0</v>
      </c>
      <c r="K82" s="44"/>
      <c r="L82" s="44"/>
      <c r="M82" s="44">
        <v>2069.5500000000002</v>
      </c>
      <c r="N82" s="44">
        <f t="shared" si="21"/>
        <v>2069.5500000000002</v>
      </c>
      <c r="O82" s="45"/>
      <c r="P82" s="17"/>
      <c r="Q82" s="17"/>
      <c r="R82" s="17"/>
      <c r="S82" s="17">
        <f>2619.9+2000</f>
        <v>4619.8999999999996</v>
      </c>
      <c r="T82" s="17"/>
      <c r="U82" s="25">
        <f t="shared" si="14"/>
        <v>6689.45</v>
      </c>
      <c r="V82" s="1" t="b">
        <f t="shared" si="15"/>
        <v>1</v>
      </c>
    </row>
    <row r="83" spans="1:22" ht="12.75" hidden="1" customHeight="1" x14ac:dyDescent="0.2">
      <c r="A83" s="16"/>
      <c r="B83" s="110" t="s">
        <v>86</v>
      </c>
      <c r="C83" s="110"/>
      <c r="D83" s="110"/>
      <c r="E83" s="16" t="s">
        <v>26</v>
      </c>
      <c r="F83" s="17">
        <f t="shared" si="17"/>
        <v>0</v>
      </c>
      <c r="G83" s="44"/>
      <c r="H83" s="44"/>
      <c r="I83" s="44"/>
      <c r="J83" s="44">
        <f t="shared" si="20"/>
        <v>0</v>
      </c>
      <c r="K83" s="44"/>
      <c r="L83" s="44"/>
      <c r="M83" s="44"/>
      <c r="N83" s="44">
        <f t="shared" si="21"/>
        <v>0</v>
      </c>
      <c r="O83" s="45"/>
      <c r="P83" s="17"/>
      <c r="Q83" s="17"/>
      <c r="R83" s="17"/>
      <c r="S83" s="17"/>
      <c r="T83" s="17"/>
      <c r="U83" s="25">
        <f t="shared" si="14"/>
        <v>0</v>
      </c>
      <c r="V83" s="1" t="b">
        <f t="shared" si="15"/>
        <v>1</v>
      </c>
    </row>
    <row r="84" spans="1:22" ht="12.75" hidden="1" customHeight="1" x14ac:dyDescent="0.2">
      <c r="A84" s="16"/>
      <c r="B84" s="110" t="s">
        <v>87</v>
      </c>
      <c r="C84" s="110"/>
      <c r="D84" s="110"/>
      <c r="E84" s="16" t="s">
        <v>26</v>
      </c>
      <c r="F84" s="17">
        <f t="shared" si="17"/>
        <v>0</v>
      </c>
      <c r="G84" s="44"/>
      <c r="H84" s="44"/>
      <c r="I84" s="44"/>
      <c r="J84" s="44">
        <f t="shared" si="20"/>
        <v>0</v>
      </c>
      <c r="K84" s="44"/>
      <c r="L84" s="44"/>
      <c r="M84" s="44"/>
      <c r="N84" s="44">
        <f t="shared" si="21"/>
        <v>0</v>
      </c>
      <c r="O84" s="42"/>
      <c r="P84" s="17"/>
      <c r="Q84" s="17"/>
      <c r="R84" s="17"/>
      <c r="S84" s="17"/>
      <c r="T84" s="17"/>
      <c r="U84" s="25">
        <f t="shared" si="14"/>
        <v>0</v>
      </c>
      <c r="V84" s="1" t="b">
        <f t="shared" si="15"/>
        <v>1</v>
      </c>
    </row>
    <row r="85" spans="1:22" x14ac:dyDescent="0.2">
      <c r="A85" s="16"/>
      <c r="B85" s="110" t="s">
        <v>88</v>
      </c>
      <c r="C85" s="110"/>
      <c r="D85" s="110"/>
      <c r="E85" s="16" t="s">
        <v>26</v>
      </c>
      <c r="F85" s="17">
        <f t="shared" si="17"/>
        <v>25332.639999999999</v>
      </c>
      <c r="G85" s="44"/>
      <c r="H85" s="44">
        <f>2545.98</f>
        <v>2545.98</v>
      </c>
      <c r="I85" s="44"/>
      <c r="J85" s="44">
        <f t="shared" si="20"/>
        <v>2545.98</v>
      </c>
      <c r="K85" s="44"/>
      <c r="L85" s="44">
        <f>2545.98</f>
        <v>2545.98</v>
      </c>
      <c r="M85" s="44">
        <f>2545.98</f>
        <v>2545.98</v>
      </c>
      <c r="N85" s="44">
        <f t="shared" si="21"/>
        <v>5091.96</v>
      </c>
      <c r="O85" s="44">
        <f>2545.98</f>
        <v>2545.98</v>
      </c>
      <c r="P85" s="17">
        <f>2545.98</f>
        <v>2545.98</v>
      </c>
      <c r="Q85" s="17">
        <v>2545.98</v>
      </c>
      <c r="R85" s="17"/>
      <c r="S85" s="17">
        <f>2545.98+3000</f>
        <v>5545.98</v>
      </c>
      <c r="T85" s="17">
        <f>4510.78</f>
        <v>4510.78</v>
      </c>
      <c r="U85" s="25">
        <f t="shared" si="14"/>
        <v>25332.639999999999</v>
      </c>
      <c r="V85" s="1" t="b">
        <f t="shared" si="15"/>
        <v>1</v>
      </c>
    </row>
    <row r="86" spans="1:22" x14ac:dyDescent="0.2">
      <c r="A86" s="16"/>
      <c r="B86" s="102" t="s">
        <v>89</v>
      </c>
      <c r="C86" s="103"/>
      <c r="D86" s="104"/>
      <c r="E86" s="16" t="s">
        <v>26</v>
      </c>
      <c r="F86" s="17">
        <f t="shared" si="17"/>
        <v>127393.22</v>
      </c>
      <c r="G86" s="44">
        <f>7376.55+1265.63</f>
        <v>8642.18</v>
      </c>
      <c r="H86" s="44">
        <f>1418.99+8329.7</f>
        <v>9748.69</v>
      </c>
      <c r="I86" s="44">
        <f>1418.99+8630.44</f>
        <v>10049.43</v>
      </c>
      <c r="J86" s="44">
        <f t="shared" si="20"/>
        <v>28440.300000000003</v>
      </c>
      <c r="K86" s="44">
        <f>9263.69+1418.99</f>
        <v>10682.68</v>
      </c>
      <c r="L86" s="44">
        <f>1418.99+9473.37</f>
        <v>10892.36</v>
      </c>
      <c r="M86" s="44">
        <f>9202.28+1418.99</f>
        <v>10621.27</v>
      </c>
      <c r="N86" s="44">
        <f t="shared" si="21"/>
        <v>32196.31</v>
      </c>
      <c r="O86" s="42">
        <f>1418.99+1167.25+9323</f>
        <v>11909.24</v>
      </c>
      <c r="P86" s="17">
        <f>1170.58+153.36</f>
        <v>1323.94</v>
      </c>
      <c r="Q86" s="17">
        <f>9511.35+1418.99</f>
        <v>10930.34</v>
      </c>
      <c r="R86" s="17">
        <f>6665.04+2837.98+1418.99</f>
        <v>10922.01</v>
      </c>
      <c r="S86" s="17">
        <f>6806.94+2696.08+1418.99</f>
        <v>10922.01</v>
      </c>
      <c r="T86" s="17">
        <f>6989.08+2655.84+1418.99+9685.16</f>
        <v>20749.07</v>
      </c>
      <c r="U86" s="25">
        <f t="shared" si="14"/>
        <v>127393.22</v>
      </c>
      <c r="V86" s="1" t="b">
        <f t="shared" si="15"/>
        <v>1</v>
      </c>
    </row>
    <row r="87" spans="1:22" hidden="1" x14ac:dyDescent="0.2">
      <c r="A87" s="16"/>
      <c r="B87" s="105" t="s">
        <v>90</v>
      </c>
      <c r="C87" s="106"/>
      <c r="D87" s="107"/>
      <c r="E87" s="16" t="s">
        <v>26</v>
      </c>
      <c r="F87" s="17">
        <f t="shared" si="17"/>
        <v>0</v>
      </c>
      <c r="G87" s="44"/>
      <c r="H87" s="44"/>
      <c r="I87" s="49"/>
      <c r="J87" s="44">
        <f t="shared" si="20"/>
        <v>0</v>
      </c>
      <c r="K87" s="44"/>
      <c r="L87" s="44"/>
      <c r="M87" s="44"/>
      <c r="N87" s="44">
        <f t="shared" si="21"/>
        <v>0</v>
      </c>
      <c r="O87" s="42"/>
      <c r="P87" s="17"/>
      <c r="Q87" s="17"/>
      <c r="R87" s="17"/>
      <c r="S87" s="17"/>
      <c r="T87" s="17"/>
      <c r="U87" s="25">
        <f t="shared" si="14"/>
        <v>0</v>
      </c>
      <c r="V87" s="1" t="b">
        <f t="shared" si="15"/>
        <v>1</v>
      </c>
    </row>
    <row r="88" spans="1:22" ht="14.25" hidden="1" customHeight="1" x14ac:dyDescent="0.2">
      <c r="A88" s="16"/>
      <c r="B88" s="108" t="s">
        <v>91</v>
      </c>
      <c r="C88" s="108"/>
      <c r="D88" s="108"/>
      <c r="E88" s="16" t="s">
        <v>26</v>
      </c>
      <c r="F88" s="17">
        <f t="shared" si="17"/>
        <v>0</v>
      </c>
      <c r="G88" s="44"/>
      <c r="H88" s="44"/>
      <c r="I88" s="49"/>
      <c r="J88" s="44">
        <f t="shared" si="20"/>
        <v>0</v>
      </c>
      <c r="K88" s="44"/>
      <c r="L88" s="44"/>
      <c r="M88" s="44"/>
      <c r="N88" s="44">
        <f t="shared" si="21"/>
        <v>0</v>
      </c>
      <c r="O88" s="42"/>
      <c r="P88" s="17"/>
      <c r="Q88" s="17"/>
      <c r="R88" s="17"/>
      <c r="S88" s="17"/>
      <c r="T88" s="17"/>
      <c r="U88" s="25">
        <f t="shared" si="14"/>
        <v>0</v>
      </c>
      <c r="V88" s="1" t="b">
        <f t="shared" si="15"/>
        <v>1</v>
      </c>
    </row>
    <row r="89" spans="1:22" x14ac:dyDescent="0.2">
      <c r="A89" s="16"/>
      <c r="B89" s="109" t="s">
        <v>92</v>
      </c>
      <c r="C89" s="109"/>
      <c r="D89" s="109"/>
      <c r="E89" s="16" t="s">
        <v>26</v>
      </c>
      <c r="F89" s="17">
        <f t="shared" si="17"/>
        <v>21751.81</v>
      </c>
      <c r="G89" s="44">
        <f>253.46+1466.67</f>
        <v>1720.13</v>
      </c>
      <c r="H89" s="44">
        <f>239.12+1403.69</f>
        <v>1642.81</v>
      </c>
      <c r="I89" s="44">
        <f>239.12+1454.37</f>
        <v>1693.4899999999998</v>
      </c>
      <c r="J89" s="44">
        <f t="shared" si="20"/>
        <v>5056.43</v>
      </c>
      <c r="K89" s="44">
        <f>239.12+1561.08+10.59</f>
        <v>1810.7899999999997</v>
      </c>
      <c r="L89" s="44">
        <f>239.12+1596.41</f>
        <v>1835.5300000000002</v>
      </c>
      <c r="M89" s="44">
        <f>239.12+1550.73</f>
        <v>1789.85</v>
      </c>
      <c r="N89" s="44">
        <f t="shared" si="21"/>
        <v>5436.17</v>
      </c>
      <c r="O89" s="42">
        <f>206.05+1571.07+239.12</f>
        <v>2016.2399999999998</v>
      </c>
      <c r="P89" s="17">
        <f>239.12+1549+38.13</f>
        <v>1826.25</v>
      </c>
      <c r="Q89" s="17">
        <f>1347.95+492.58</f>
        <v>1840.53</v>
      </c>
      <c r="R89" s="17">
        <f>239.12+1601.41</f>
        <v>1840.5300000000002</v>
      </c>
      <c r="S89" s="17">
        <f>239.12+1625.32</f>
        <v>1864.44</v>
      </c>
      <c r="T89" s="17">
        <f>239.12+1632.1</f>
        <v>1871.2199999999998</v>
      </c>
      <c r="U89" s="25">
        <f t="shared" si="14"/>
        <v>21751.81</v>
      </c>
      <c r="V89" s="1" t="b">
        <f t="shared" si="15"/>
        <v>1</v>
      </c>
    </row>
    <row r="90" spans="1:22" ht="12.75" hidden="1" customHeight="1" x14ac:dyDescent="0.2">
      <c r="A90" s="16"/>
      <c r="B90" s="110" t="s">
        <v>93</v>
      </c>
      <c r="C90" s="110"/>
      <c r="D90" s="110"/>
      <c r="E90" s="16" t="s">
        <v>26</v>
      </c>
      <c r="F90" s="17">
        <f t="shared" si="17"/>
        <v>0</v>
      </c>
      <c r="G90" s="42"/>
      <c r="H90" s="42"/>
      <c r="I90" s="42"/>
      <c r="J90" s="44">
        <f t="shared" si="20"/>
        <v>0</v>
      </c>
      <c r="K90" s="42"/>
      <c r="L90" s="42"/>
      <c r="M90" s="42"/>
      <c r="N90" s="44"/>
      <c r="O90" s="42"/>
      <c r="P90" s="17"/>
      <c r="Q90" s="17"/>
      <c r="R90" s="17"/>
      <c r="S90" s="17"/>
      <c r="T90" s="17"/>
      <c r="U90" s="25">
        <f t="shared" si="14"/>
        <v>0</v>
      </c>
      <c r="V90" s="1" t="b">
        <f t="shared" si="15"/>
        <v>1</v>
      </c>
    </row>
    <row r="91" spans="1:22" ht="12.75" customHeight="1" x14ac:dyDescent="0.2">
      <c r="A91" s="16"/>
      <c r="B91" s="105" t="s">
        <v>116</v>
      </c>
      <c r="C91" s="106"/>
      <c r="D91" s="107"/>
      <c r="E91" s="16" t="s">
        <v>26</v>
      </c>
      <c r="F91" s="17">
        <f t="shared" si="17"/>
        <v>95276.89</v>
      </c>
      <c r="G91" s="16">
        <f>15000</f>
        <v>15000</v>
      </c>
      <c r="H91" s="42">
        <f>25000</f>
        <v>25000</v>
      </c>
      <c r="I91" s="16">
        <v>15000</v>
      </c>
      <c r="J91" s="44">
        <f t="shared" si="20"/>
        <v>55000</v>
      </c>
      <c r="K91" s="16">
        <f>15000</f>
        <v>15000</v>
      </c>
      <c r="L91" s="42"/>
      <c r="M91" s="42">
        <f>10063+15213.89</f>
        <v>25276.89</v>
      </c>
      <c r="N91" s="44"/>
      <c r="O91" s="42"/>
      <c r="P91" s="17"/>
      <c r="Q91" s="17"/>
      <c r="R91" s="17"/>
      <c r="S91" s="17"/>
      <c r="T91" s="17"/>
      <c r="U91" s="25">
        <f t="shared" si="14"/>
        <v>95276.89</v>
      </c>
      <c r="V91" s="1" t="b">
        <f t="shared" si="15"/>
        <v>1</v>
      </c>
    </row>
    <row r="92" spans="1:22" ht="12.75" hidden="1" customHeight="1" x14ac:dyDescent="0.2">
      <c r="A92" s="16"/>
      <c r="B92" s="52" t="s">
        <v>94</v>
      </c>
      <c r="C92" s="53"/>
      <c r="E92" s="16" t="s">
        <v>26</v>
      </c>
      <c r="F92" s="17">
        <f t="shared" si="17"/>
        <v>0</v>
      </c>
      <c r="G92" s="42"/>
      <c r="H92" s="42"/>
      <c r="I92" s="16"/>
      <c r="J92" s="44">
        <f t="shared" si="20"/>
        <v>0</v>
      </c>
      <c r="K92" s="42"/>
      <c r="L92" s="42"/>
      <c r="M92" s="42"/>
      <c r="N92" s="44"/>
      <c r="O92" s="42"/>
      <c r="P92" s="17"/>
      <c r="Q92" s="17"/>
      <c r="R92" s="17"/>
      <c r="S92" s="17"/>
      <c r="T92" s="17"/>
      <c r="U92" s="25">
        <f t="shared" si="14"/>
        <v>0</v>
      </c>
      <c r="V92" s="1" t="b">
        <f t="shared" si="15"/>
        <v>1</v>
      </c>
    </row>
    <row r="93" spans="1:22" hidden="1" x14ac:dyDescent="0.2">
      <c r="A93" s="16"/>
      <c r="B93" s="111" t="s">
        <v>95</v>
      </c>
      <c r="C93" s="112"/>
      <c r="D93" s="113"/>
      <c r="E93" s="16" t="s">
        <v>26</v>
      </c>
      <c r="F93" s="17">
        <f t="shared" si="17"/>
        <v>0</v>
      </c>
      <c r="G93" s="42"/>
      <c r="H93" s="42"/>
      <c r="I93" s="16"/>
      <c r="J93" s="44">
        <f t="shared" si="20"/>
        <v>0</v>
      </c>
      <c r="K93" s="42"/>
      <c r="L93" s="42"/>
      <c r="M93" s="42"/>
      <c r="N93" s="44"/>
      <c r="O93" s="42"/>
      <c r="P93" s="17"/>
      <c r="Q93" s="17"/>
      <c r="R93" s="17"/>
      <c r="S93" s="17"/>
      <c r="T93" s="17"/>
      <c r="U93" s="25">
        <f>O93+M93+L93+K93+I93+H93+G93+P93+Q93+R93+S93+T93</f>
        <v>0</v>
      </c>
      <c r="V93" s="1" t="b">
        <f t="shared" si="15"/>
        <v>1</v>
      </c>
    </row>
    <row r="94" spans="1:22" x14ac:dyDescent="0.2">
      <c r="A94" s="16"/>
      <c r="B94" s="80" t="s">
        <v>96</v>
      </c>
      <c r="C94" s="80"/>
      <c r="D94" s="80"/>
      <c r="E94" s="16" t="s">
        <v>26</v>
      </c>
      <c r="F94" s="17">
        <f t="shared" si="17"/>
        <v>6100</v>
      </c>
      <c r="G94" s="42"/>
      <c r="H94" s="42"/>
      <c r="I94" s="27">
        <f>1200+2500</f>
        <v>3700</v>
      </c>
      <c r="J94" s="44"/>
      <c r="K94" s="42"/>
      <c r="L94" s="42"/>
      <c r="M94" s="42"/>
      <c r="N94" s="44"/>
      <c r="O94" s="42"/>
      <c r="P94" s="17"/>
      <c r="Q94" s="17"/>
      <c r="R94" s="17">
        <v>2400</v>
      </c>
      <c r="S94" s="17"/>
      <c r="T94" s="17"/>
      <c r="U94" s="25">
        <f>O94+M94+L94+K94+I94+H94+G94+P94+Q94+R94+S94+T94</f>
        <v>6100</v>
      </c>
      <c r="V94" s="1" t="b">
        <f t="shared" si="15"/>
        <v>1</v>
      </c>
    </row>
    <row r="95" spans="1:22" ht="12.75" customHeight="1" x14ac:dyDescent="0.2">
      <c r="A95" s="16"/>
      <c r="B95" s="52" t="s">
        <v>97</v>
      </c>
      <c r="C95" s="53"/>
      <c r="D95" s="54"/>
      <c r="E95" s="16" t="s">
        <v>26</v>
      </c>
      <c r="F95" s="17">
        <f t="shared" si="17"/>
        <v>3042.6</v>
      </c>
      <c r="G95" s="42"/>
      <c r="H95" s="42">
        <f>3042.6</f>
        <v>3042.6</v>
      </c>
      <c r="I95" s="16"/>
      <c r="J95" s="44">
        <f t="shared" si="20"/>
        <v>3042.6</v>
      </c>
      <c r="K95" s="42"/>
      <c r="L95" s="42"/>
      <c r="M95" s="42"/>
      <c r="N95" s="44"/>
      <c r="O95" s="42"/>
      <c r="P95" s="17"/>
      <c r="Q95" s="17"/>
      <c r="R95" s="17"/>
      <c r="S95" s="17"/>
      <c r="T95" s="17"/>
      <c r="U95" s="25">
        <f t="shared" si="14"/>
        <v>3042.6</v>
      </c>
      <c r="V95" s="1" t="b">
        <f t="shared" si="15"/>
        <v>1</v>
      </c>
    </row>
    <row r="96" spans="1:22" ht="12.75" customHeight="1" x14ac:dyDescent="0.2">
      <c r="A96" s="16"/>
      <c r="B96" s="52" t="s">
        <v>98</v>
      </c>
      <c r="C96" s="53"/>
      <c r="D96" s="54"/>
      <c r="E96" s="16" t="s">
        <v>26</v>
      </c>
      <c r="F96" s="17">
        <f t="shared" si="17"/>
        <v>9628</v>
      </c>
      <c r="G96" s="42"/>
      <c r="H96" s="42"/>
      <c r="I96" s="16"/>
      <c r="J96" s="44"/>
      <c r="K96" s="42"/>
      <c r="L96" s="45">
        <v>9628</v>
      </c>
      <c r="M96" s="42"/>
      <c r="N96" s="44"/>
      <c r="O96" s="42"/>
      <c r="P96" s="17"/>
      <c r="Q96" s="17"/>
      <c r="R96" s="17"/>
      <c r="S96" s="17"/>
      <c r="T96" s="17"/>
      <c r="U96" s="25">
        <f>O96+M96+L96+K96+I96+H96+G96+P96+Q96+R96+S96+T96</f>
        <v>9628</v>
      </c>
      <c r="V96" s="1" t="b">
        <f t="shared" si="15"/>
        <v>1</v>
      </c>
    </row>
    <row r="97" spans="1:22" ht="12.75" customHeight="1" x14ac:dyDescent="0.2">
      <c r="A97" s="16"/>
      <c r="B97" s="52" t="s">
        <v>99</v>
      </c>
      <c r="C97" s="53"/>
      <c r="D97" s="54"/>
      <c r="E97" s="16"/>
      <c r="F97" s="17">
        <f t="shared" si="17"/>
        <v>391.14</v>
      </c>
      <c r="G97" s="42"/>
      <c r="H97" s="42"/>
      <c r="I97" s="16"/>
      <c r="J97" s="44"/>
      <c r="K97" s="42"/>
      <c r="L97" s="42"/>
      <c r="M97" s="42">
        <v>391.14</v>
      </c>
      <c r="N97" s="44"/>
      <c r="O97" s="42"/>
      <c r="P97" s="17"/>
      <c r="Q97" s="17"/>
      <c r="R97" s="17"/>
      <c r="S97" s="17"/>
      <c r="T97" s="17"/>
      <c r="U97" s="25">
        <f>O97+M97+L97+K97+I97+H97+G97+P97+Q97+R97+S97+T97</f>
        <v>391.14</v>
      </c>
      <c r="V97" s="1" t="b">
        <f t="shared" si="15"/>
        <v>1</v>
      </c>
    </row>
    <row r="98" spans="1:22" ht="12.75" hidden="1" customHeight="1" x14ac:dyDescent="0.2">
      <c r="A98" s="16"/>
      <c r="B98" s="105" t="s">
        <v>100</v>
      </c>
      <c r="C98" s="106"/>
      <c r="D98" s="107"/>
      <c r="E98" s="16" t="s">
        <v>26</v>
      </c>
      <c r="F98" s="17">
        <f t="shared" si="17"/>
        <v>0</v>
      </c>
      <c r="G98" s="42"/>
      <c r="H98" s="42"/>
      <c r="I98" s="42"/>
      <c r="J98" s="44">
        <f t="shared" si="20"/>
        <v>0</v>
      </c>
      <c r="K98" s="45"/>
      <c r="L98" s="45"/>
      <c r="M98" s="45"/>
      <c r="N98" s="44">
        <f t="shared" si="21"/>
        <v>0</v>
      </c>
      <c r="O98" s="42"/>
      <c r="P98" s="17"/>
      <c r="Q98" s="17"/>
      <c r="R98" s="17"/>
      <c r="S98" s="17"/>
      <c r="T98" s="17"/>
      <c r="U98" s="25">
        <f t="shared" si="14"/>
        <v>0</v>
      </c>
      <c r="V98" s="1" t="b">
        <f t="shared" si="15"/>
        <v>1</v>
      </c>
    </row>
    <row r="99" spans="1:22" ht="24.75" customHeight="1" x14ac:dyDescent="0.2">
      <c r="A99" s="16"/>
      <c r="B99" s="80" t="s">
        <v>59</v>
      </c>
      <c r="C99" s="80"/>
      <c r="D99" s="80"/>
      <c r="E99" s="16" t="s">
        <v>26</v>
      </c>
      <c r="F99" s="44">
        <f t="shared" ref="F99:Q99" si="22">F54+F56-F63</f>
        <v>37.999999999068677</v>
      </c>
      <c r="G99" s="44">
        <f t="shared" si="22"/>
        <v>0</v>
      </c>
      <c r="H99" s="44">
        <f t="shared" si="22"/>
        <v>125.05000000010477</v>
      </c>
      <c r="I99" s="44">
        <f t="shared" si="22"/>
        <v>96.610000000102445</v>
      </c>
      <c r="J99" s="44">
        <f t="shared" si="22"/>
        <v>320790.74</v>
      </c>
      <c r="K99" s="44">
        <f t="shared" si="22"/>
        <v>3222.1900000000605</v>
      </c>
      <c r="L99" s="44">
        <f t="shared" si="22"/>
        <v>148.84000000008382</v>
      </c>
      <c r="M99" s="44">
        <f t="shared" si="22"/>
        <v>0</v>
      </c>
      <c r="N99" s="44">
        <f t="shared" si="22"/>
        <v>965290.55000000016</v>
      </c>
      <c r="O99" s="44">
        <f t="shared" si="22"/>
        <v>286.61000000004424</v>
      </c>
      <c r="P99" s="17">
        <f t="shared" si="22"/>
        <v>375.45000000001164</v>
      </c>
      <c r="Q99" s="17">
        <f t="shared" si="22"/>
        <v>0</v>
      </c>
      <c r="R99" s="17">
        <f>R54+R56-R63</f>
        <v>0</v>
      </c>
      <c r="S99" s="17">
        <f>S54+S56-S63</f>
        <v>4115.6499999999651</v>
      </c>
      <c r="T99" s="17">
        <f>T54+T56-T63</f>
        <v>0</v>
      </c>
      <c r="U99" s="25"/>
    </row>
    <row r="100" spans="1:22" ht="12.75" hidden="1" customHeight="1" x14ac:dyDescent="0.2">
      <c r="A100" s="16"/>
      <c r="B100" s="124"/>
      <c r="C100" s="125"/>
      <c r="D100" s="126"/>
      <c r="E100" s="16" t="s">
        <v>26</v>
      </c>
      <c r="F100" s="44"/>
      <c r="G100" s="42"/>
      <c r="H100" s="42"/>
      <c r="I100" s="42"/>
      <c r="J100" s="42"/>
      <c r="K100" s="42"/>
      <c r="L100" s="42"/>
      <c r="M100" s="42"/>
      <c r="N100" s="42"/>
      <c r="O100" s="55"/>
      <c r="P100" s="55"/>
      <c r="Q100" s="55"/>
      <c r="R100" s="55"/>
      <c r="S100" s="55"/>
      <c r="T100" s="55"/>
      <c r="U100" s="25">
        <f>O100+M100+L100+K100+I100+H100+G100</f>
        <v>0</v>
      </c>
      <c r="V100" s="1" t="b">
        <f>U100=F100</f>
        <v>1</v>
      </c>
    </row>
    <row r="101" spans="1:22" ht="12.75" hidden="1" customHeight="1" x14ac:dyDescent="0.2">
      <c r="A101" s="16"/>
      <c r="B101" s="80" t="s">
        <v>101</v>
      </c>
      <c r="C101" s="80"/>
      <c r="D101" s="80"/>
      <c r="E101" s="16" t="s">
        <v>26</v>
      </c>
      <c r="F101" s="44"/>
      <c r="G101" s="44"/>
      <c r="H101" s="44"/>
      <c r="I101" s="44"/>
      <c r="J101" s="44"/>
      <c r="K101" s="44"/>
      <c r="L101" s="44"/>
      <c r="M101" s="44"/>
      <c r="N101" s="44"/>
      <c r="O101" s="42"/>
      <c r="P101" s="42"/>
      <c r="Q101" s="42"/>
      <c r="R101" s="42"/>
      <c r="S101" s="42"/>
      <c r="T101" s="42"/>
      <c r="U101" s="25">
        <f>O101+M101+L101+K101+I101+H101+G101</f>
        <v>0</v>
      </c>
      <c r="V101" s="1" t="b">
        <f>U101=F101</f>
        <v>1</v>
      </c>
    </row>
    <row r="102" spans="1:22" hidden="1" x14ac:dyDescent="0.2">
      <c r="A102" s="16"/>
      <c r="B102" s="124"/>
      <c r="C102" s="125"/>
      <c r="D102" s="126"/>
      <c r="E102" s="16"/>
      <c r="F102" s="42"/>
      <c r="G102" s="42"/>
      <c r="H102" s="42"/>
      <c r="I102" s="42"/>
      <c r="J102" s="42"/>
      <c r="K102" s="42"/>
      <c r="L102" s="42"/>
      <c r="M102" s="42"/>
      <c r="N102" s="42"/>
      <c r="O102" s="45"/>
      <c r="P102" s="45"/>
      <c r="Q102" s="45"/>
      <c r="R102" s="45"/>
      <c r="S102" s="45"/>
      <c r="T102" s="45"/>
      <c r="U102" s="25"/>
    </row>
    <row r="103" spans="1:22" hidden="1" x14ac:dyDescent="0.2">
      <c r="A103" s="16"/>
      <c r="B103" s="118" t="s">
        <v>102</v>
      </c>
      <c r="C103" s="119"/>
      <c r="D103" s="120"/>
      <c r="E103" s="16"/>
      <c r="F103" s="42"/>
      <c r="G103" s="42"/>
      <c r="H103" s="42"/>
      <c r="I103" s="42"/>
      <c r="J103" s="42"/>
      <c r="K103" s="42"/>
      <c r="L103" s="42"/>
      <c r="M103" s="42"/>
      <c r="N103" s="42"/>
      <c r="O103" s="56"/>
      <c r="P103" s="56"/>
      <c r="Q103" s="56"/>
      <c r="R103" s="56"/>
      <c r="S103" s="56"/>
      <c r="T103" s="56"/>
      <c r="U103" s="25"/>
    </row>
    <row r="104" spans="1:22" ht="24" hidden="1" customHeight="1" x14ac:dyDescent="0.2">
      <c r="A104" s="16" t="s">
        <v>27</v>
      </c>
      <c r="B104" s="80" t="s">
        <v>103</v>
      </c>
      <c r="C104" s="80"/>
      <c r="D104" s="80"/>
      <c r="E104" s="16" t="s">
        <v>26</v>
      </c>
      <c r="F104" s="17">
        <f>G104+H104+I104+K104+L104+M104+O104+P104+Q104+R104+S104+T104</f>
        <v>5450000</v>
      </c>
      <c r="G104" s="44">
        <v>400000</v>
      </c>
      <c r="H104" s="44">
        <v>500000</v>
      </c>
      <c r="I104" s="44">
        <v>500000</v>
      </c>
      <c r="J104" s="44">
        <f>SUM(G104:I104)</f>
        <v>1400000</v>
      </c>
      <c r="K104" s="44">
        <v>500000</v>
      </c>
      <c r="L104" s="44">
        <v>500000</v>
      </c>
      <c r="M104" s="44">
        <v>500000</v>
      </c>
      <c r="N104" s="44">
        <f>SUM(K104:M104)</f>
        <v>1500000</v>
      </c>
      <c r="O104" s="45">
        <v>500000</v>
      </c>
      <c r="P104" s="27">
        <v>500000</v>
      </c>
      <c r="Q104" s="27">
        <v>500000</v>
      </c>
      <c r="R104" s="27">
        <v>50000</v>
      </c>
      <c r="S104" s="27">
        <v>500000</v>
      </c>
      <c r="T104" s="27">
        <v>500000</v>
      </c>
      <c r="U104" s="25">
        <f>O104+M104+L104+K104+I104+H104+G104+P104+Q104+R104+S104+T104</f>
        <v>5450000</v>
      </c>
      <c r="V104" s="1" t="b">
        <f>U104=F104</f>
        <v>1</v>
      </c>
    </row>
    <row r="105" spans="1:22" hidden="1" x14ac:dyDescent="0.2">
      <c r="A105" s="16" t="s">
        <v>37</v>
      </c>
      <c r="B105" s="110" t="s">
        <v>104</v>
      </c>
      <c r="C105" s="110"/>
      <c r="D105" s="110"/>
      <c r="E105" s="16" t="s">
        <v>26</v>
      </c>
      <c r="F105" s="17">
        <f>G105+H105+I105+K105+L105+M105+O105+P105+Q105+R105+S105+T105</f>
        <v>3113541.9600000009</v>
      </c>
      <c r="G105" s="44">
        <f>G70+G33+G71</f>
        <v>150000</v>
      </c>
      <c r="H105" s="44">
        <f t="shared" ref="H105:T105" si="23">H70+H33+H71</f>
        <v>248497.52</v>
      </c>
      <c r="I105" s="44">
        <f t="shared" si="23"/>
        <v>343400</v>
      </c>
      <c r="J105" s="44">
        <f t="shared" si="23"/>
        <v>425000</v>
      </c>
      <c r="K105" s="44">
        <f t="shared" si="23"/>
        <v>483432.1</v>
      </c>
      <c r="L105" s="44">
        <f t="shared" si="23"/>
        <v>421159</v>
      </c>
      <c r="M105" s="44">
        <f t="shared" si="23"/>
        <v>191159.32</v>
      </c>
      <c r="N105" s="44">
        <f t="shared" si="23"/>
        <v>276159</v>
      </c>
      <c r="O105" s="44">
        <f t="shared" si="23"/>
        <v>122500</v>
      </c>
      <c r="P105" s="44">
        <f t="shared" si="23"/>
        <v>140000</v>
      </c>
      <c r="Q105" s="44">
        <f t="shared" si="23"/>
        <v>150000</v>
      </c>
      <c r="R105" s="44">
        <f t="shared" si="23"/>
        <v>353586.78</v>
      </c>
      <c r="S105" s="44">
        <f t="shared" si="23"/>
        <v>145000</v>
      </c>
      <c r="T105" s="44">
        <f t="shared" si="23"/>
        <v>364807.24000000005</v>
      </c>
      <c r="U105" s="25">
        <f>O105+M105+L105+K105+I105+H105+G105+P105+Q105+R105+S105+T105</f>
        <v>3113541.96</v>
      </c>
      <c r="V105" s="1" t="b">
        <f>U105=F105</f>
        <v>1</v>
      </c>
    </row>
    <row r="106" spans="1:22" hidden="1" x14ac:dyDescent="0.2">
      <c r="A106" s="16" t="s">
        <v>105</v>
      </c>
      <c r="B106" s="110" t="s">
        <v>106</v>
      </c>
      <c r="C106" s="110"/>
      <c r="D106" s="110"/>
      <c r="E106" s="16" t="s">
        <v>107</v>
      </c>
      <c r="F106" s="57">
        <f t="shared" ref="F106:T106" si="24">F105/F104*100</f>
        <v>57.129210275229369</v>
      </c>
      <c r="G106" s="57">
        <f t="shared" si="24"/>
        <v>37.5</v>
      </c>
      <c r="H106" s="57">
        <f t="shared" si="24"/>
        <v>49.699503999999997</v>
      </c>
      <c r="I106" s="57">
        <f t="shared" si="24"/>
        <v>68.679999999999993</v>
      </c>
      <c r="J106" s="57">
        <f t="shared" si="24"/>
        <v>30.357142857142854</v>
      </c>
      <c r="K106" s="57">
        <f t="shared" si="24"/>
        <v>96.686419999999998</v>
      </c>
      <c r="L106" s="57">
        <f t="shared" si="24"/>
        <v>84.231800000000007</v>
      </c>
      <c r="M106" s="57">
        <f t="shared" si="24"/>
        <v>38.231864000000002</v>
      </c>
      <c r="N106" s="57">
        <f t="shared" si="24"/>
        <v>18.410599999999999</v>
      </c>
      <c r="O106" s="57">
        <f t="shared" si="24"/>
        <v>24.5</v>
      </c>
      <c r="P106" s="57">
        <f t="shared" si="24"/>
        <v>28.000000000000004</v>
      </c>
      <c r="Q106" s="57">
        <f t="shared" si="24"/>
        <v>30</v>
      </c>
      <c r="R106" s="57">
        <f t="shared" si="24"/>
        <v>707.17356000000007</v>
      </c>
      <c r="S106" s="57">
        <f t="shared" si="24"/>
        <v>28.999999999999996</v>
      </c>
      <c r="T106" s="57">
        <f t="shared" si="24"/>
        <v>72.961448000000004</v>
      </c>
      <c r="U106" s="25"/>
    </row>
    <row r="107" spans="1:22" ht="24.75" hidden="1" customHeight="1" x14ac:dyDescent="0.2">
      <c r="A107" s="16" t="s">
        <v>108</v>
      </c>
      <c r="B107" s="121" t="s">
        <v>109</v>
      </c>
      <c r="C107" s="122"/>
      <c r="D107" s="123"/>
      <c r="E107" s="16" t="s">
        <v>26</v>
      </c>
      <c r="F107" s="17">
        <f>G107+H107+I107+K107+L107+M107+O107+P107+Q107+R107+S107+T107</f>
        <v>6078880.2299999986</v>
      </c>
      <c r="G107" s="57">
        <v>478133.44</v>
      </c>
      <c r="H107" s="57">
        <v>686963.49</v>
      </c>
      <c r="I107" s="57">
        <v>746133.26</v>
      </c>
      <c r="J107" s="44">
        <f>SUM(G107:I107)</f>
        <v>1911230.19</v>
      </c>
      <c r="K107" s="57">
        <v>634815.31999999995</v>
      </c>
      <c r="L107" s="57">
        <v>546081.34</v>
      </c>
      <c r="M107" s="44">
        <v>444588.57</v>
      </c>
      <c r="N107" s="44">
        <f>SUM(K107:M107)</f>
        <v>1625485.23</v>
      </c>
      <c r="O107" s="58">
        <v>380821.89</v>
      </c>
      <c r="P107" s="58">
        <v>314821.73</v>
      </c>
      <c r="Q107" s="58">
        <v>278903.8</v>
      </c>
      <c r="R107" s="58">
        <v>560401.09</v>
      </c>
      <c r="S107" s="58">
        <v>522120.68</v>
      </c>
      <c r="T107" s="58">
        <v>485095.62</v>
      </c>
      <c r="U107" s="25">
        <f>O107+M107+L107+K107+I107+H107+G107+P107+Q107+R107+S107+T107</f>
        <v>6078880.2299999995</v>
      </c>
      <c r="V107" s="1" t="b">
        <f>U107=F107</f>
        <v>1</v>
      </c>
    </row>
    <row r="108" spans="1:22" ht="13.5" hidden="1" customHeight="1" x14ac:dyDescent="0.2">
      <c r="A108" s="16" t="s">
        <v>110</v>
      </c>
      <c r="B108" s="114" t="s">
        <v>111</v>
      </c>
      <c r="C108" s="115"/>
      <c r="D108" s="116"/>
      <c r="E108" s="16" t="s">
        <v>26</v>
      </c>
      <c r="F108" s="17">
        <f>G108+H108+I108+K108+L108+M108+O108+P108+Q108+R108+S108+T108</f>
        <v>6063462.0099999998</v>
      </c>
      <c r="G108" s="57">
        <f>G13+G60+G59</f>
        <v>450172.65</v>
      </c>
      <c r="H108" s="57">
        <f>H13+H60+H59</f>
        <v>502542.85</v>
      </c>
      <c r="I108" s="57">
        <f>I13+I60+I59</f>
        <v>679564.20000000007</v>
      </c>
      <c r="J108" s="44">
        <f>SUM(G108:I108)</f>
        <v>1632279.7000000002</v>
      </c>
      <c r="K108" s="57">
        <f>K13+K60+K59</f>
        <v>602317.62</v>
      </c>
      <c r="L108" s="57">
        <f>L13</f>
        <v>679363.14</v>
      </c>
      <c r="M108" s="57">
        <f>M13</f>
        <v>492815.1</v>
      </c>
      <c r="N108" s="44">
        <f>SUM(K108:M108)</f>
        <v>1774495.8599999999</v>
      </c>
      <c r="O108" s="57">
        <f t="shared" ref="O108:T108" si="25">O13</f>
        <v>357036.6</v>
      </c>
      <c r="P108" s="57">
        <f t="shared" si="25"/>
        <v>404102</v>
      </c>
      <c r="Q108" s="57">
        <f t="shared" si="25"/>
        <v>344186.56</v>
      </c>
      <c r="R108" s="57">
        <f t="shared" si="25"/>
        <v>452775.67999999999</v>
      </c>
      <c r="S108" s="57">
        <f t="shared" si="25"/>
        <v>460041.43</v>
      </c>
      <c r="T108" s="57">
        <f t="shared" si="25"/>
        <v>638544.18000000005</v>
      </c>
      <c r="U108" s="25">
        <f>O108+M108+L108+K108+I108+H108+G108+P108+Q108+R108+S108+T108</f>
        <v>6063462.0099999988</v>
      </c>
      <c r="V108" s="1" t="b">
        <f>U108=F108</f>
        <v>1</v>
      </c>
    </row>
    <row r="109" spans="1:22" hidden="1" x14ac:dyDescent="0.2">
      <c r="A109" s="16" t="s">
        <v>112</v>
      </c>
      <c r="B109" s="114" t="s">
        <v>113</v>
      </c>
      <c r="C109" s="115"/>
      <c r="D109" s="116"/>
      <c r="E109" s="16" t="s">
        <v>107</v>
      </c>
      <c r="F109" s="57">
        <f t="shared" ref="F109:T109" si="26">F108/F107*100</f>
        <v>99.74636414246315</v>
      </c>
      <c r="G109" s="57">
        <f t="shared" si="26"/>
        <v>94.152094862890166</v>
      </c>
      <c r="H109" s="57">
        <f t="shared" si="26"/>
        <v>73.154229783012198</v>
      </c>
      <c r="I109" s="57">
        <f t="shared" si="26"/>
        <v>91.078127250352054</v>
      </c>
      <c r="J109" s="57">
        <f t="shared" si="26"/>
        <v>85.404662847022124</v>
      </c>
      <c r="K109" s="57">
        <f t="shared" si="26"/>
        <v>94.88076311705899</v>
      </c>
      <c r="L109" s="57">
        <f t="shared" si="26"/>
        <v>124.40695007084477</v>
      </c>
      <c r="M109" s="57">
        <f t="shared" si="26"/>
        <v>110.84745161127285</v>
      </c>
      <c r="N109" s="57">
        <f t="shared" si="26"/>
        <v>109.16714758460155</v>
      </c>
      <c r="O109" s="57">
        <f t="shared" si="26"/>
        <v>93.754221953995327</v>
      </c>
      <c r="P109" s="57">
        <f t="shared" si="26"/>
        <v>128.35899224618328</v>
      </c>
      <c r="Q109" s="57">
        <f t="shared" si="26"/>
        <v>123.40690947918243</v>
      </c>
      <c r="R109" s="57">
        <f t="shared" si="26"/>
        <v>80.794932072669596</v>
      </c>
      <c r="S109" s="57">
        <f t="shared" si="26"/>
        <v>88.110172154069815</v>
      </c>
      <c r="T109" s="57">
        <f t="shared" si="26"/>
        <v>131.63264182842966</v>
      </c>
      <c r="U109" s="25"/>
    </row>
    <row r="110" spans="1:22" ht="24" customHeight="1" x14ac:dyDescent="0.2">
      <c r="A110" s="35"/>
      <c r="B110" s="26" t="s">
        <v>60</v>
      </c>
      <c r="F110" s="26"/>
      <c r="G110" s="26"/>
      <c r="H110" s="59"/>
      <c r="I110" s="59"/>
      <c r="J110" s="59" t="s">
        <v>61</v>
      </c>
      <c r="N110" s="59"/>
      <c r="S110" s="1" t="s">
        <v>114</v>
      </c>
    </row>
    <row r="111" spans="1:22" x14ac:dyDescent="0.2">
      <c r="A111" s="35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</row>
    <row r="112" spans="1:22" x14ac:dyDescent="0.2">
      <c r="A112" s="35"/>
      <c r="B112" s="1" t="s">
        <v>115</v>
      </c>
      <c r="E112" s="1"/>
      <c r="G112" s="26"/>
      <c r="H112" s="59"/>
      <c r="I112" s="59"/>
      <c r="J112" s="59"/>
      <c r="N112" s="59"/>
    </row>
    <row r="113" spans="2:7" x14ac:dyDescent="0.2">
      <c r="B113" s="117"/>
      <c r="C113" s="117"/>
      <c r="D113" s="117"/>
    </row>
    <row r="115" spans="2:7" x14ac:dyDescent="0.2">
      <c r="B115" s="26"/>
      <c r="G115" s="26"/>
    </row>
  </sheetData>
  <mergeCells count="133">
    <mergeCell ref="B109:D109"/>
    <mergeCell ref="B113:D113"/>
    <mergeCell ref="B103:D103"/>
    <mergeCell ref="B104:D104"/>
    <mergeCell ref="B105:D105"/>
    <mergeCell ref="B106:D106"/>
    <mergeCell ref="B107:D107"/>
    <mergeCell ref="B108:D108"/>
    <mergeCell ref="B94:D94"/>
    <mergeCell ref="B98:D98"/>
    <mergeCell ref="B99:D99"/>
    <mergeCell ref="B100:D100"/>
    <mergeCell ref="B101:D101"/>
    <mergeCell ref="B102:D102"/>
    <mergeCell ref="B86:D86"/>
    <mergeCell ref="B87:D87"/>
    <mergeCell ref="B88:D88"/>
    <mergeCell ref="B89:D89"/>
    <mergeCell ref="B90:D90"/>
    <mergeCell ref="B93:D93"/>
    <mergeCell ref="B79:D79"/>
    <mergeCell ref="B80:D80"/>
    <mergeCell ref="B82:D82"/>
    <mergeCell ref="B83:D83"/>
    <mergeCell ref="B84:D84"/>
    <mergeCell ref="B85:D85"/>
    <mergeCell ref="B91:D91"/>
    <mergeCell ref="B73:D73"/>
    <mergeCell ref="B74:D74"/>
    <mergeCell ref="B75:D75"/>
    <mergeCell ref="B76:D76"/>
    <mergeCell ref="B77:D77"/>
    <mergeCell ref="B78:D78"/>
    <mergeCell ref="B67:D67"/>
    <mergeCell ref="B68:D68"/>
    <mergeCell ref="B69:D69"/>
    <mergeCell ref="B70:D70"/>
    <mergeCell ref="B71:D71"/>
    <mergeCell ref="B72:D72"/>
    <mergeCell ref="B61:D61"/>
    <mergeCell ref="B62:D62"/>
    <mergeCell ref="B63:D63"/>
    <mergeCell ref="B64:D64"/>
    <mergeCell ref="B65:D65"/>
    <mergeCell ref="B66:D66"/>
    <mergeCell ref="B55:D55"/>
    <mergeCell ref="B56:D56"/>
    <mergeCell ref="B57:D57"/>
    <mergeCell ref="B58:D58"/>
    <mergeCell ref="B59:D59"/>
    <mergeCell ref="B60:D60"/>
    <mergeCell ref="R51:R52"/>
    <mergeCell ref="S51:S52"/>
    <mergeCell ref="T51:T52"/>
    <mergeCell ref="B52:D52"/>
    <mergeCell ref="B53:D53"/>
    <mergeCell ref="B54:D54"/>
    <mergeCell ref="L51:L52"/>
    <mergeCell ref="M51:M52"/>
    <mergeCell ref="N51:N52"/>
    <mergeCell ref="O51:O52"/>
    <mergeCell ref="P51:P52"/>
    <mergeCell ref="Q51:Q52"/>
    <mergeCell ref="B51:D51"/>
    <mergeCell ref="G51:G52"/>
    <mergeCell ref="H51:H52"/>
    <mergeCell ref="I51:I52"/>
    <mergeCell ref="J51:J52"/>
    <mergeCell ref="K51:K52"/>
    <mergeCell ref="A46:T46"/>
    <mergeCell ref="A47:S47"/>
    <mergeCell ref="A48:T48"/>
    <mergeCell ref="A49:P49"/>
    <mergeCell ref="B50:D50"/>
    <mergeCell ref="G50:T50"/>
    <mergeCell ref="B39:D39"/>
    <mergeCell ref="B40:D40"/>
    <mergeCell ref="B41:D41"/>
    <mergeCell ref="B42:D42"/>
    <mergeCell ref="B43:D43"/>
    <mergeCell ref="A45:P45"/>
    <mergeCell ref="B33:D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23:D23"/>
    <mergeCell ref="B24:D24"/>
    <mergeCell ref="B25:D25"/>
    <mergeCell ref="B26:D26"/>
    <mergeCell ref="B15:D15"/>
    <mergeCell ref="B16:D16"/>
    <mergeCell ref="B17:D17"/>
    <mergeCell ref="B18:D18"/>
    <mergeCell ref="B19:D19"/>
    <mergeCell ref="B20:D20"/>
    <mergeCell ref="B11:D11"/>
    <mergeCell ref="B12:D12"/>
    <mergeCell ref="B13:D13"/>
    <mergeCell ref="B14:D14"/>
    <mergeCell ref="Q6:Q7"/>
    <mergeCell ref="R6:R7"/>
    <mergeCell ref="S6:S7"/>
    <mergeCell ref="B21:D21"/>
    <mergeCell ref="B22:D22"/>
    <mergeCell ref="B8:D8"/>
    <mergeCell ref="K6:K7"/>
    <mergeCell ref="L6:L7"/>
    <mergeCell ref="M6:M7"/>
    <mergeCell ref="N6:N7"/>
    <mergeCell ref="O6:O7"/>
    <mergeCell ref="P6:P7"/>
    <mergeCell ref="B9:D9"/>
    <mergeCell ref="B10:D10"/>
    <mergeCell ref="A1:T1"/>
    <mergeCell ref="A2:T2"/>
    <mergeCell ref="A3:T3"/>
    <mergeCell ref="B5:D5"/>
    <mergeCell ref="G5:T5"/>
    <mergeCell ref="B6:D6"/>
    <mergeCell ref="G6:G7"/>
    <mergeCell ref="H6:H7"/>
    <mergeCell ref="I6:I7"/>
    <mergeCell ref="J6:J7"/>
    <mergeCell ref="T6:T7"/>
    <mergeCell ref="B7:D7"/>
  </mergeCells>
  <pageMargins left="0.27559055118110237" right="0.23622047244094491" top="0.19685039370078741" bottom="0" header="0.19685039370078741" footer="0.27559055118110237"/>
  <pageSetup paperSize="9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2013-03-12T02:34:36Z</dcterms:created>
  <dcterms:modified xsi:type="dcterms:W3CDTF">2013-03-19T07:35:53Z</dcterms:modified>
</cp:coreProperties>
</file>